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88" windowWidth="23256" windowHeight="715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F119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Полноват</t>
        </r>
      </text>
    </comment>
  </commentList>
</comments>
</file>

<file path=xl/sharedStrings.xml><?xml version="1.0" encoding="utf-8"?>
<sst xmlns="http://schemas.openxmlformats.org/spreadsheetml/2006/main" count="1800" uniqueCount="376">
  <si>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</si>
  <si>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</si>
  <si>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</si>
  <si>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</si>
  <si>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</si>
  <si>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</si>
  <si>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</si>
  <si>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</si>
  <si>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</si>
  <si>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</si>
  <si>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</si>
  <si>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</si>
  <si>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</si>
  <si>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</si>
  <si>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</si>
  <si>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</si>
  <si>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</si>
  <si>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</si>
  <si>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</si>
  <si>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</si>
  <si>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</si>
  <si>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</si>
  <si>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</si>
  <si>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</si>
  <si>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</si>
  <si>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</si>
  <si>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</si>
  <si>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</si>
  <si>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</si>
  <si>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</si>
  <si>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</si>
  <si>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</si>
  <si>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</si>
  <si>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</si>
  <si>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</si>
  <si>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</si>
  <si>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</si>
  <si>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</si>
  <si>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</si>
  <si>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</si>
  <si>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</si>
  <si>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</si>
  <si>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</si>
  <si>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</si>
  <si>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</si>
  <si>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</si>
  <si>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</si>
  <si>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</si>
  <si>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</si>
  <si>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</si>
  <si>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</si>
  <si>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</si>
  <si>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</si>
  <si>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</si>
  <si>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</si>
  <si>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</si>
  <si>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</si>
  <si>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</si>
  <si>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</si>
  <si>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</si>
  <si>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</si>
  <si>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</si>
  <si>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</si>
  <si>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</si>
  <si>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</si>
  <si>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</si>
  <si>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</si>
  <si>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млн. условных кирпичей</t>
  </si>
  <si>
    <t>тыс. руб.</t>
  </si>
  <si>
    <t>Электроэнергия</t>
  </si>
  <si>
    <t>млрд. кВт. ч.</t>
  </si>
  <si>
    <t>в том числе произведенная</t>
  </si>
  <si>
    <t>тепловыми 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</si>
  <si>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</si>
  <si>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</si>
  <si>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</si>
  <si>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</si>
  <si>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</si>
  <si>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</si>
  <si>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</si>
  <si>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</si>
  <si>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</si>
  <si>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</si>
  <si>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</si>
  <si>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</si>
  <si>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</si>
  <si>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</si>
  <si>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</si>
  <si>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</si>
  <si>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</si>
  <si>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</si>
  <si>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</si>
  <si>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</si>
  <si>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</si>
  <si>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</si>
  <si>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</si>
  <si>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</si>
  <si>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</si>
  <si>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</si>
  <si>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</si>
  <si>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</si>
  <si>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</si>
  <si>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</si>
  <si>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</si>
  <si>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</si>
  <si>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</si>
  <si>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</si>
  <si>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</si>
  <si>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</si>
  <si>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</si>
  <si>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</si>
  <si>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</si>
  <si>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</si>
  <si>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</si>
  <si>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</si>
  <si>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</si>
  <si>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</si>
  <si>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</si>
  <si>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</si>
  <si>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</si>
  <si>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</si>
  <si>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</si>
  <si>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</si>
  <si>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</si>
  <si>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</si>
  <si>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</si>
  <si>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</si>
  <si>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</si>
  <si>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</si>
  <si>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</si>
  <si>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</si>
  <si>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</si>
  <si>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</si>
  <si>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</si>
  <si>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</si>
  <si>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</si>
  <si>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</si>
  <si>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</si>
  <si>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</si>
  <si>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</si>
  <si>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</si>
  <si>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</si>
  <si>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</si>
  <si>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</si>
  <si>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</si>
  <si>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</si>
  <si>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</si>
  <si>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</si>
  <si>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</si>
  <si>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</si>
  <si>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</si>
  <si>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</si>
  <si>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</si>
  <si>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</si>
  <si>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</si>
  <si>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</si>
  <si>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</si>
  <si>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</si>
  <si>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</si>
  <si>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</si>
  <si>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</si>
  <si>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</si>
  <si>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</si>
  <si>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</si>
  <si>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</si>
  <si>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</si>
  <si>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</si>
  <si>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</si>
  <si>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</si>
  <si>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</si>
  <si>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</si>
  <si>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</si>
  <si>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</si>
  <si>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</si>
  <si>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</si>
  <si>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</si>
  <si>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</si>
  <si>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</si>
  <si>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</si>
  <si>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</si>
  <si>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</si>
  <si>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</si>
  <si>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</si>
  <si>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</si>
  <si>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</si>
  <si>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</si>
  <si>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</si>
  <si>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</si>
  <si>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</si>
  <si>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</si>
  <si>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</si>
  <si>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</si>
  <si>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</si>
  <si>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</si>
  <si>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</si>
  <si>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</si>
  <si>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</si>
  <si>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</si>
  <si>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</si>
  <si>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</si>
  <si>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</si>
  <si>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</si>
  <si>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</si>
  <si>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</si>
  <si>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</si>
  <si>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</si>
  <si>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</si>
  <si>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</si>
  <si>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</si>
  <si>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</si>
  <si>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</si>
  <si>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</si>
  <si>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</si>
  <si>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</si>
  <si>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</si>
  <si>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</si>
  <si>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</si>
  <si>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</si>
  <si>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</si>
  <si>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</si>
  <si>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</si>
  <si>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</si>
  <si>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</si>
  <si>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</si>
  <si>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</si>
  <si>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</si>
  <si>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</si>
  <si>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</si>
  <si>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</si>
  <si>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</si>
  <si>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</si>
  <si>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</si>
  <si>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</si>
  <si>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</si>
  <si>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</si>
  <si>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</si>
  <si>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</si>
  <si>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</si>
  <si>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</si>
  <si>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</si>
  <si>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</si>
  <si>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</si>
  <si>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</si>
  <si>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</si>
  <si>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</si>
  <si>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</si>
  <si>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</si>
  <si>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</si>
  <si>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</si>
  <si>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</si>
  <si>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</si>
  <si>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</si>
  <si>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</si>
  <si>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</si>
  <si>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</si>
  <si>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</si>
  <si>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</si>
  <si>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</si>
  <si>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</si>
  <si>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</si>
  <si>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</si>
  <si>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</si>
  <si>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</si>
  <si>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</si>
  <si>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</si>
  <si>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</si>
  <si>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</si>
  <si>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</si>
  <si>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</si>
  <si>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</si>
  <si>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</si>
  <si>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</si>
  <si>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</si>
  <si>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</si>
  <si>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</si>
  <si>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</si>
  <si>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</si>
  <si>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</si>
  <si>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</si>
  <si>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</si>
  <si>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</si>
  <si>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</si>
  <si>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</si>
  <si>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</si>
  <si>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</si>
  <si>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</si>
  <si>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</si>
  <si>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</si>
  <si>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</si>
  <si>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</si>
  <si>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</si>
  <si>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</si>
  <si>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</si>
  <si>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</si>
  <si>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</si>
  <si>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</si>
  <si>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</si>
  <si>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</si>
  <si>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</si>
  <si>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</si>
  <si>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</si>
  <si>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</si>
  <si>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</si>
  <si>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</si>
  <si>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</si>
  <si>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</si>
  <si>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</si>
  <si>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</si>
  <si>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</si>
  <si>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</si>
  <si>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</si>
  <si>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</si>
  <si>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</si>
  <si>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</si>
  <si>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</si>
  <si>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</si>
  <si>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</si>
  <si>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</si>
  <si>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</si>
  <si>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</si>
  <si>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</si>
  <si>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</si>
  <si>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</si>
  <si>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</si>
  <si>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</si>
  <si>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</si>
  <si>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</si>
  <si>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1. Демографические показатели по Белоярскому району</t>
  </si>
  <si>
    <t>Промышленное производство</t>
  </si>
  <si>
    <t>Сельское хозяйство</t>
  </si>
  <si>
    <t>Транспорт</t>
  </si>
  <si>
    <t xml:space="preserve">Производство важнейших видов продукции в натуральном выражении </t>
  </si>
  <si>
    <t>Строительство</t>
  </si>
  <si>
    <t>ПРОГНОЗ</t>
  </si>
  <si>
    <t>социально-экономического развития  Белоярского района</t>
  </si>
  <si>
    <t>-</t>
  </si>
  <si>
    <t>Доходы консолидированного бюджета Белоярского района - всего</t>
  </si>
  <si>
    <t>Налоговые доходы консолидированного бюджета Белоярского района - всего</t>
  </si>
  <si>
    <t>Расходы консолидированного бюджета Белоярского района - всего</t>
  </si>
  <si>
    <t>0,,383</t>
  </si>
  <si>
    <t>Реализация основных профессиональных образовательных программ подготовка квалифицированных рабочих и служащих, программ подготовки специалистов среднего звена</t>
  </si>
  <si>
    <t xml:space="preserve">на 2016 год и на период до 2018 года </t>
  </si>
  <si>
    <t>Реальные денежные доходы населения</t>
  </si>
  <si>
    <t>Среднее предпринимательство</t>
  </si>
  <si>
    <t>Число средних предприятий (на конец года)</t>
  </si>
  <si>
    <t>Оборот средних предприятий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</si>
  <si>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</si>
  <si>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</si>
  <si>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</si>
  <si>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налог на совокупный доход (ЕНВД, УСН, ЕСХН и патентная система налогооблажения)</t>
  </si>
  <si>
    <t>прочие налоги и сборы</t>
  </si>
  <si>
    <t>субсидии местным бюджетам</t>
  </si>
  <si>
    <t>субвенции местным бюджетам</t>
  </si>
  <si>
    <t>дотации местным бюджетам</t>
  </si>
  <si>
    <t>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</si>
  <si>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</si>
  <si>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</t>
  </si>
  <si>
    <t>млн.руб. в сопоставимых ценах</t>
  </si>
  <si>
    <t>Блоки и камни стеновые мелкие из бетона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</si>
  <si>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</si>
  <si>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тыс. куб.м.</t>
  </si>
  <si>
    <t>Среднесписочная численность работников  (без внешних совместителей)</t>
  </si>
  <si>
    <t>млн.руб. в сопостовимых ценах</t>
  </si>
  <si>
    <t>Объем отгруженных товаров собственного производства, выполненных работ и услуг собственными силами (C+D+E)</t>
  </si>
  <si>
    <t>Водка и ликеро-водочные изделия</t>
  </si>
  <si>
    <t>Пиво</t>
  </si>
  <si>
    <t>4. Малое и среднее предпринимательство, включая микропредприятия</t>
  </si>
  <si>
    <t>5. Инвестиции</t>
  </si>
  <si>
    <t>6. Консолидированный бюджет Белоярского района</t>
  </si>
  <si>
    <t>7. Денежные доходы и расходы населения</t>
  </si>
  <si>
    <t>8. Труд и занятость</t>
  </si>
  <si>
    <t>9. Развитие социальной сферы</t>
  </si>
  <si>
    <t>Индекс-дефлятор отгрузки (С+Д+Е)</t>
  </si>
  <si>
    <t>Объем муниципального долга</t>
  </si>
  <si>
    <t>_______________</t>
  </si>
  <si>
    <t xml:space="preserve">ПРИЛОЖЕНИЕ
к постановлению администрации
Белоярского района                                                                   от 23 октября  2015 года   № 1279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</si>
</sst>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#,##0.000"/>
    <numFmt numFmtId="171" formatCode="#,##0.0"/>
    <numFmt numFmtId="172" formatCode="#,##0.00&quot;р.&quot;"/>
    <numFmt numFmtId="173" formatCode="#,##0.0000"/>
    <numFmt numFmtId="174" formatCode="#,##0.00000"/>
    <numFmt numFmtId="175" formatCode="#,##0.00_р_."/>
  </numFmts>
  <fonts count="5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4"/>
      <name val="Arial Cyr"/>
      <family val="0"/>
    </font>
    <font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wrapText="1"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/>
    </xf>
    <xf numFmtId="4" fontId="5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1" xfId="0" applyNumberFormat="1" applyFont="1" applyFill="1" applyBorder="1" applyAlignment="1" applyProtection="1">
      <alignment horizontal="center" vertical="center" wrapText="1"/>
      <protection/>
    </xf>
    <xf numFmtId="171" fontId="6" fillId="33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16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Alignment="1">
      <alignment vertical="center"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3" fillId="0" borderId="10" xfId="0" applyNumberFormat="1" applyFont="1" applyFill="1" applyBorder="1" applyAlignment="1">
      <alignment horizontal="center" vertical="center" wrapText="1" shrinkToFit="1"/>
    </xf>
    <xf numFmtId="170" fontId="6" fillId="0" borderId="10" xfId="0" applyNumberFormat="1" applyFont="1" applyFill="1" applyBorder="1" applyAlignment="1">
      <alignment horizontal="center" vertical="center" wrapText="1" shrinkToFit="1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 shrinkToFit="1"/>
    </xf>
    <xf numFmtId="0" fontId="5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13" xfId="0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5"/>
  <sheetViews>
    <sheetView tabSelected="1" view="pageBreakPreview" zoomScale="70" zoomScaleNormal="7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B5" sqref="B5:L5"/>
    </sheetView>
  </sheetViews>
  <sheetFormatPr defaultColWidth="9.125" defaultRowHeight="12.75"/>
  <cols>
    <col min="1" max="1" width="9.125" style="8" customWidth="1"/>
    <col min="2" max="2" width="78.50390625" style="15" customWidth="1"/>
    <col min="3" max="3" width="43.50390625" style="8" customWidth="1"/>
    <col min="4" max="4" width="13.625" style="8" customWidth="1"/>
    <col min="5" max="5" width="15.50390625" style="8" customWidth="1"/>
    <col min="6" max="12" width="13.625" style="8" customWidth="1"/>
    <col min="13" max="13" width="79.375" style="8" customWidth="1"/>
    <col min="14" max="16384" width="9.125" style="8" customWidth="1"/>
  </cols>
  <sheetData>
    <row r="1" spans="9:12" ht="80.25" customHeight="1">
      <c r="I1" s="98" t="s">
        <v>375</v>
      </c>
      <c r="J1" s="98"/>
      <c r="K1" s="98"/>
      <c r="L1" s="98"/>
    </row>
    <row r="2" spans="2:12" ht="15.75" customHeight="1">
      <c r="B2" s="55"/>
      <c r="C2" s="55"/>
      <c r="D2" s="55"/>
      <c r="E2" s="55"/>
      <c r="F2" s="55"/>
      <c r="G2" s="55"/>
      <c r="H2" s="55"/>
      <c r="I2" s="55"/>
      <c r="J2" s="89"/>
      <c r="K2" s="89"/>
      <c r="L2" s="89"/>
    </row>
    <row r="3" spans="2:12" ht="18.75" customHeight="1">
      <c r="B3" s="16"/>
      <c r="C3" s="90" t="s">
        <v>333</v>
      </c>
      <c r="D3" s="90"/>
      <c r="E3" s="90"/>
      <c r="F3" s="90"/>
      <c r="G3" s="16"/>
      <c r="H3" s="16"/>
      <c r="I3" s="16"/>
      <c r="J3" s="89"/>
      <c r="K3" s="89"/>
      <c r="L3" s="89"/>
    </row>
    <row r="4" spans="2:12" ht="24.75" customHeight="1">
      <c r="B4" s="85" t="s">
        <v>334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2:12" ht="25.5" customHeight="1">
      <c r="B5" s="85" t="s">
        <v>341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12" ht="15.7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ht="18"/>
    <row r="8" spans="2:12" ht="15.75">
      <c r="B8" s="94" t="s">
        <v>269</v>
      </c>
      <c r="C8" s="91" t="s">
        <v>270</v>
      </c>
      <c r="D8" s="32" t="s">
        <v>271</v>
      </c>
      <c r="E8" s="33" t="s">
        <v>271</v>
      </c>
      <c r="F8" s="33" t="s">
        <v>272</v>
      </c>
      <c r="G8" s="33" t="s">
        <v>273</v>
      </c>
      <c r="H8" s="33"/>
      <c r="I8" s="33"/>
      <c r="J8" s="33"/>
      <c r="K8" s="33"/>
      <c r="L8" s="33"/>
    </row>
    <row r="9" spans="2:12" ht="15.75">
      <c r="B9" s="94"/>
      <c r="C9" s="91"/>
      <c r="D9" s="91">
        <v>2013</v>
      </c>
      <c r="E9" s="91">
        <v>2014</v>
      </c>
      <c r="F9" s="91">
        <v>2015</v>
      </c>
      <c r="G9" s="33">
        <v>2016</v>
      </c>
      <c r="H9" s="33"/>
      <c r="I9" s="33">
        <v>2017</v>
      </c>
      <c r="J9" s="33"/>
      <c r="K9" s="33">
        <v>2018</v>
      </c>
      <c r="L9" s="33"/>
    </row>
    <row r="10" spans="2:12" ht="15.75">
      <c r="B10" s="94"/>
      <c r="C10" s="91"/>
      <c r="D10" s="91"/>
      <c r="E10" s="91"/>
      <c r="F10" s="91"/>
      <c r="G10" s="32" t="s">
        <v>274</v>
      </c>
      <c r="H10" s="32" t="s">
        <v>275</v>
      </c>
      <c r="I10" s="32" t="s">
        <v>274</v>
      </c>
      <c r="J10" s="32" t="s">
        <v>275</v>
      </c>
      <c r="K10" s="32" t="s">
        <v>274</v>
      </c>
      <c r="L10" s="32" t="s">
        <v>275</v>
      </c>
    </row>
    <row r="11" spans="2:12" ht="15.75">
      <c r="B11" s="86" t="s">
        <v>327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2:12" ht="18.75">
      <c r="B12" s="1" t="s">
        <v>276</v>
      </c>
      <c r="C12" s="7"/>
      <c r="D12" s="7"/>
      <c r="E12" s="6"/>
      <c r="F12" s="19"/>
      <c r="G12" s="19"/>
      <c r="H12" s="19"/>
      <c r="I12" s="19"/>
      <c r="J12" s="19"/>
      <c r="K12" s="19"/>
      <c r="L12" s="19"/>
    </row>
    <row r="13" spans="2:12" ht="18.75">
      <c r="B13" s="3" t="s">
        <v>277</v>
      </c>
      <c r="C13" s="7" t="s">
        <v>278</v>
      </c>
      <c r="D13" s="7">
        <v>29.898</v>
      </c>
      <c r="E13" s="24">
        <v>29.78</v>
      </c>
      <c r="F13" s="24">
        <v>29.711</v>
      </c>
      <c r="G13" s="24">
        <v>29.767</v>
      </c>
      <c r="H13" s="24">
        <v>29.767</v>
      </c>
      <c r="I13" s="24">
        <v>29.823</v>
      </c>
      <c r="J13" s="24">
        <v>29.823</v>
      </c>
      <c r="K13" s="24">
        <v>29.883</v>
      </c>
      <c r="L13" s="24">
        <v>29.883</v>
      </c>
    </row>
    <row r="14" spans="2:12" ht="18.75">
      <c r="B14" s="3" t="s">
        <v>280</v>
      </c>
      <c r="C14" s="7" t="s">
        <v>278</v>
      </c>
      <c r="D14" s="7">
        <v>20.214</v>
      </c>
      <c r="E14" s="24">
        <v>20.241</v>
      </c>
      <c r="F14" s="24">
        <v>20.306</v>
      </c>
      <c r="G14" s="24">
        <v>20.377</v>
      </c>
      <c r="H14" s="24">
        <v>20.377</v>
      </c>
      <c r="I14" s="24">
        <v>20.448</v>
      </c>
      <c r="J14" s="24">
        <v>20.448</v>
      </c>
      <c r="K14" s="24">
        <v>20.52</v>
      </c>
      <c r="L14" s="24">
        <v>20.52</v>
      </c>
    </row>
    <row r="15" spans="2:12" ht="18.75">
      <c r="B15" s="3" t="s">
        <v>281</v>
      </c>
      <c r="C15" s="7" t="s">
        <v>278</v>
      </c>
      <c r="D15" s="7">
        <v>9.684</v>
      </c>
      <c r="E15" s="24">
        <v>9.539</v>
      </c>
      <c r="F15" s="24">
        <v>9.405</v>
      </c>
      <c r="G15" s="24">
        <v>9.39</v>
      </c>
      <c r="H15" s="24">
        <v>9.39</v>
      </c>
      <c r="I15" s="24">
        <v>9.375</v>
      </c>
      <c r="J15" s="24">
        <v>9.375</v>
      </c>
      <c r="K15" s="24">
        <v>9.363</v>
      </c>
      <c r="L15" s="24">
        <v>9.363</v>
      </c>
    </row>
    <row r="16" spans="2:12" ht="31.5">
      <c r="B16" s="3" t="s">
        <v>282</v>
      </c>
      <c r="C16" s="7" t="s">
        <v>283</v>
      </c>
      <c r="D16" s="25">
        <f>423/D13</f>
        <v>14.148103552077062</v>
      </c>
      <c r="E16" s="6">
        <f>413/E13</f>
        <v>13.8683680322364</v>
      </c>
      <c r="F16" s="6">
        <f>410/F13</f>
        <v>13.799602840698732</v>
      </c>
      <c r="G16" s="6">
        <f>410/G13</f>
        <v>13.773641952497732</v>
      </c>
      <c r="H16" s="6">
        <f>410/H13</f>
        <v>13.773641952497732</v>
      </c>
      <c r="I16" s="6">
        <f>410/I13</f>
        <v>13.74777856017168</v>
      </c>
      <c r="J16" s="6">
        <f>410/J13</f>
        <v>13.74777856017168</v>
      </c>
      <c r="K16" s="6">
        <f>413/K13</f>
        <v>13.820566877488874</v>
      </c>
      <c r="L16" s="6">
        <f>413/L13</f>
        <v>13.820566877488874</v>
      </c>
    </row>
    <row r="17" spans="2:12" ht="31.5">
      <c r="B17" s="3" t="s">
        <v>284</v>
      </c>
      <c r="C17" s="7" t="s">
        <v>285</v>
      </c>
      <c r="D17" s="25">
        <f>172/D13</f>
        <v>5.752893170111713</v>
      </c>
      <c r="E17" s="6">
        <f>184/E13</f>
        <v>6.178643384822028</v>
      </c>
      <c r="F17" s="6">
        <f aca="true" t="shared" si="0" ref="F17:L17">170/F13</f>
        <v>5.7217865437043525</v>
      </c>
      <c r="G17" s="6">
        <f t="shared" si="0"/>
        <v>5.711022272986865</v>
      </c>
      <c r="H17" s="6">
        <f t="shared" si="0"/>
        <v>5.711022272986865</v>
      </c>
      <c r="I17" s="6">
        <f t="shared" si="0"/>
        <v>5.700298427388257</v>
      </c>
      <c r="J17" s="6">
        <f t="shared" si="0"/>
        <v>5.700298427388257</v>
      </c>
      <c r="K17" s="6">
        <f t="shared" si="0"/>
        <v>5.688853194123749</v>
      </c>
      <c r="L17" s="6">
        <f t="shared" si="0"/>
        <v>5.688853194123749</v>
      </c>
    </row>
    <row r="18" spans="2:12" ht="18.75">
      <c r="B18" s="3" t="s">
        <v>286</v>
      </c>
      <c r="C18" s="7" t="s">
        <v>287</v>
      </c>
      <c r="D18" s="25">
        <f>251/D13</f>
        <v>8.395210381965349</v>
      </c>
      <c r="E18" s="25">
        <f>227/E13</f>
        <v>7.622565480188046</v>
      </c>
      <c r="F18" s="6">
        <f aca="true" t="shared" si="1" ref="F18:L18">240/F13</f>
        <v>8.07781629699438</v>
      </c>
      <c r="G18" s="6">
        <f t="shared" si="1"/>
        <v>8.062619679510869</v>
      </c>
      <c r="H18" s="6">
        <f t="shared" si="1"/>
        <v>8.062619679510869</v>
      </c>
      <c r="I18" s="6">
        <f t="shared" si="1"/>
        <v>8.047480132783422</v>
      </c>
      <c r="J18" s="6">
        <f t="shared" si="1"/>
        <v>8.047480132783422</v>
      </c>
      <c r="K18" s="6">
        <f t="shared" si="1"/>
        <v>8.031322156409999</v>
      </c>
      <c r="L18" s="6">
        <f t="shared" si="1"/>
        <v>8.031322156409999</v>
      </c>
    </row>
    <row r="19" spans="2:12" ht="18.75">
      <c r="B19" s="3" t="s">
        <v>233</v>
      </c>
      <c r="C19" s="7" t="s">
        <v>232</v>
      </c>
      <c r="D19" s="7">
        <v>1.606</v>
      </c>
      <c r="E19" s="24">
        <v>1.622</v>
      </c>
      <c r="F19" s="24">
        <v>1.652</v>
      </c>
      <c r="G19" s="24">
        <v>1.6</v>
      </c>
      <c r="H19" s="24">
        <v>1.6</v>
      </c>
      <c r="I19" s="24">
        <v>1.62</v>
      </c>
      <c r="J19" s="24">
        <v>1.62</v>
      </c>
      <c r="K19" s="24">
        <v>1.62</v>
      </c>
      <c r="L19" s="24">
        <v>1.62</v>
      </c>
    </row>
    <row r="20" spans="2:12" ht="18.75">
      <c r="B20" s="3" t="s">
        <v>231</v>
      </c>
      <c r="C20" s="7" t="s">
        <v>232</v>
      </c>
      <c r="D20" s="7">
        <v>1.902</v>
      </c>
      <c r="E20" s="24">
        <v>2.044</v>
      </c>
      <c r="F20" s="24">
        <v>1.836</v>
      </c>
      <c r="G20" s="24">
        <v>1.784</v>
      </c>
      <c r="H20" s="24">
        <v>1.784</v>
      </c>
      <c r="I20" s="24">
        <v>1.804</v>
      </c>
      <c r="J20" s="24">
        <v>1.804</v>
      </c>
      <c r="K20" s="24">
        <v>1.8</v>
      </c>
      <c r="L20" s="24">
        <v>1.8</v>
      </c>
    </row>
    <row r="21" spans="2:12" ht="18.75">
      <c r="B21" s="3" t="s">
        <v>288</v>
      </c>
      <c r="C21" s="7" t="s">
        <v>289</v>
      </c>
      <c r="D21" s="7">
        <v>-99</v>
      </c>
      <c r="E21" s="27">
        <v>-141</v>
      </c>
      <c r="F21" s="27">
        <f aca="true" t="shared" si="2" ref="F21:L21">-184/(F13/10)</f>
        <v>-61.929924943623575</v>
      </c>
      <c r="G21" s="27">
        <f t="shared" si="2"/>
        <v>-61.81341754291665</v>
      </c>
      <c r="H21" s="27">
        <f t="shared" si="2"/>
        <v>-61.81341754291665</v>
      </c>
      <c r="I21" s="27">
        <f t="shared" si="2"/>
        <v>-61.697347684672906</v>
      </c>
      <c r="J21" s="27">
        <f t="shared" si="2"/>
        <v>-61.697347684672906</v>
      </c>
      <c r="K21" s="27">
        <f t="shared" si="2"/>
        <v>-61.57346986581</v>
      </c>
      <c r="L21" s="27">
        <f t="shared" si="2"/>
        <v>-61.57346986581</v>
      </c>
    </row>
    <row r="22" spans="2:12" ht="15.75">
      <c r="B22" s="86" t="s">
        <v>290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2:12" ht="18.75">
      <c r="B23" s="1" t="s">
        <v>328</v>
      </c>
      <c r="C23" s="7"/>
      <c r="D23" s="7"/>
      <c r="E23" s="6"/>
      <c r="F23" s="6"/>
      <c r="G23" s="6"/>
      <c r="H23" s="6"/>
      <c r="I23" s="6"/>
      <c r="J23" s="6"/>
      <c r="K23" s="6"/>
      <c r="L23" s="6"/>
    </row>
    <row r="24" spans="2:12" s="83" customFormat="1" ht="37.5">
      <c r="B24" s="3" t="s">
        <v>363</v>
      </c>
      <c r="C24" s="7" t="s">
        <v>291</v>
      </c>
      <c r="D24" s="35">
        <v>14478.456</v>
      </c>
      <c r="E24" s="35">
        <v>16736.863</v>
      </c>
      <c r="F24" s="35">
        <v>22560.134078091873</v>
      </c>
      <c r="G24" s="35">
        <v>29590.546521741555</v>
      </c>
      <c r="H24" s="35">
        <v>29662.60252039606</v>
      </c>
      <c r="I24" s="35">
        <v>38502.45304150542</v>
      </c>
      <c r="J24" s="35">
        <v>39599.76938403069</v>
      </c>
      <c r="K24" s="35">
        <v>47031.96205119776</v>
      </c>
      <c r="L24" s="35">
        <v>48864.17265479527</v>
      </c>
    </row>
    <row r="25" spans="2:12" s="83" customFormat="1" ht="18.75">
      <c r="B25" s="3"/>
      <c r="C25" s="7" t="s">
        <v>362</v>
      </c>
      <c r="D25" s="48">
        <v>14243.22412449594</v>
      </c>
      <c r="E25" s="48">
        <v>15352.61243057638</v>
      </c>
      <c r="F25" s="48">
        <v>17991.273765322254</v>
      </c>
      <c r="G25" s="48">
        <v>20123.24566440069</v>
      </c>
      <c r="H25" s="48">
        <v>20969.988946292524</v>
      </c>
      <c r="I25" s="48">
        <v>22562.784418960968</v>
      </c>
      <c r="J25" s="48">
        <v>23626.098287265166</v>
      </c>
      <c r="K25" s="48">
        <v>25442.57029729838</v>
      </c>
      <c r="L25" s="48">
        <v>26811.95434363555</v>
      </c>
    </row>
    <row r="26" spans="2:12" s="83" customFormat="1" ht="18.75">
      <c r="B26" s="3" t="s">
        <v>372</v>
      </c>
      <c r="C26" s="7" t="s">
        <v>279</v>
      </c>
      <c r="D26" s="35">
        <v>106.3</v>
      </c>
      <c r="E26" s="35">
        <v>107.1</v>
      </c>
      <c r="F26" s="35">
        <v>115.27213199415192</v>
      </c>
      <c r="G26" s="35">
        <v>117.53060803371709</v>
      </c>
      <c r="H26" s="35">
        <v>113.02062708446047</v>
      </c>
      <c r="I26" s="35">
        <v>116.1535220243842</v>
      </c>
      <c r="J26" s="35">
        <v>118.71442640454022</v>
      </c>
      <c r="K26" s="35">
        <v>108.2692553627862</v>
      </c>
      <c r="L26" s="35">
        <v>108.7178249090032</v>
      </c>
    </row>
    <row r="27" spans="2:12" ht="31.5">
      <c r="B27" s="3" t="s">
        <v>292</v>
      </c>
      <c r="C27" s="7" t="s">
        <v>77</v>
      </c>
      <c r="D27" s="35">
        <v>104.8</v>
      </c>
      <c r="E27" s="42">
        <v>108.2</v>
      </c>
      <c r="F27" s="42">
        <v>116.93466869609591</v>
      </c>
      <c r="G27" s="42">
        <v>111.59900617597009</v>
      </c>
      <c r="H27" s="42">
        <v>116.33485777678426</v>
      </c>
      <c r="I27" s="42">
        <v>112.02192473785479</v>
      </c>
      <c r="J27" s="42">
        <v>112.45529418941412</v>
      </c>
      <c r="K27" s="42">
        <v>112.82349449116991</v>
      </c>
      <c r="L27" s="42">
        <v>113.5003336410011</v>
      </c>
    </row>
    <row r="28" spans="2:12" ht="18.75">
      <c r="B28" s="1" t="s">
        <v>293</v>
      </c>
      <c r="C28" s="7"/>
      <c r="D28" s="18"/>
      <c r="E28" s="19"/>
      <c r="F28" s="19"/>
      <c r="G28" s="19"/>
      <c r="H28" s="19"/>
      <c r="I28" s="19"/>
      <c r="J28" s="19"/>
      <c r="K28" s="19"/>
      <c r="L28" s="19"/>
    </row>
    <row r="29" spans="2:12" ht="56.25">
      <c r="B29" s="63" t="s">
        <v>294</v>
      </c>
      <c r="C29" s="7" t="s">
        <v>291</v>
      </c>
      <c r="D29" s="35">
        <v>11716.001</v>
      </c>
      <c r="E29" s="42">
        <v>14138.671</v>
      </c>
      <c r="F29" s="42">
        <v>19858.7809</v>
      </c>
      <c r="G29" s="42">
        <v>26658.929068944002</v>
      </c>
      <c r="H29" s="42">
        <v>26658.9669412032</v>
      </c>
      <c r="I29" s="42">
        <v>35335.55957011772</v>
      </c>
      <c r="J29" s="42">
        <v>36335.63952194114</v>
      </c>
      <c r="K29" s="42">
        <v>43627.68488989792</v>
      </c>
      <c r="L29" s="42">
        <v>45327.82056374452</v>
      </c>
    </row>
    <row r="30" spans="2:12" ht="40.5" customHeight="1">
      <c r="B30" s="63"/>
      <c r="C30" s="7" t="s">
        <v>357</v>
      </c>
      <c r="D30" s="48">
        <v>11726.772792</v>
      </c>
      <c r="E30" s="6">
        <v>13196.751391</v>
      </c>
      <c r="F30" s="6">
        <v>16062.386387951943</v>
      </c>
      <c r="G30" s="6">
        <v>18181.146305386752</v>
      </c>
      <c r="H30" s="6">
        <v>19014.712847413808</v>
      </c>
      <c r="I30" s="6">
        <v>20597.25317306678</v>
      </c>
      <c r="J30" s="6">
        <v>21633.606881479674</v>
      </c>
      <c r="K30" s="6">
        <v>23460.095790774598</v>
      </c>
      <c r="L30" s="6">
        <v>24781.817455874898</v>
      </c>
    </row>
    <row r="31" spans="2:12" ht="40.5" customHeight="1">
      <c r="B31" s="3" t="s">
        <v>234</v>
      </c>
      <c r="C31" s="7" t="s">
        <v>279</v>
      </c>
      <c r="D31" s="35">
        <v>105</v>
      </c>
      <c r="E31" s="42">
        <v>104.6</v>
      </c>
      <c r="F31" s="42">
        <v>115.39871210180175</v>
      </c>
      <c r="G31" s="42">
        <v>118.59842512280036</v>
      </c>
      <c r="H31" s="42">
        <v>113.3994712027928</v>
      </c>
      <c r="I31" s="42">
        <v>116.99875178465338</v>
      </c>
      <c r="J31" s="42">
        <v>119.7982102620645</v>
      </c>
      <c r="K31" s="42">
        <v>108.40010944353743</v>
      </c>
      <c r="L31" s="42">
        <v>108.89998240473163</v>
      </c>
    </row>
    <row r="32" spans="2:12" ht="37.5">
      <c r="B32" s="3" t="s">
        <v>295</v>
      </c>
      <c r="C32" s="7" t="s">
        <v>77</v>
      </c>
      <c r="D32" s="7">
        <v>106.4</v>
      </c>
      <c r="E32" s="42">
        <v>112.5</v>
      </c>
      <c r="F32" s="42">
        <v>121.71470017163668</v>
      </c>
      <c r="G32" s="42">
        <v>113.19081652165985</v>
      </c>
      <c r="H32" s="42">
        <v>118.3803725558261</v>
      </c>
      <c r="I32" s="42">
        <v>113.28907884627813</v>
      </c>
      <c r="J32" s="42">
        <v>113.77298755485579</v>
      </c>
      <c r="K32" s="42">
        <v>113.89914758853044</v>
      </c>
      <c r="L32" s="42">
        <v>114.5524072413943</v>
      </c>
    </row>
    <row r="33" spans="2:12" ht="56.25">
      <c r="B33" s="3" t="s">
        <v>296</v>
      </c>
      <c r="C33" s="7" t="s">
        <v>291</v>
      </c>
      <c r="D33" s="48">
        <v>11716.001</v>
      </c>
      <c r="E33" s="24">
        <v>14134.539</v>
      </c>
      <c r="F33" s="24">
        <v>19854.8555</v>
      </c>
      <c r="G33" s="24">
        <v>26654.7</v>
      </c>
      <c r="H33" s="24">
        <v>26654.7</v>
      </c>
      <c r="I33" s="24">
        <v>35331.1</v>
      </c>
      <c r="J33" s="24">
        <v>36331.1</v>
      </c>
      <c r="K33" s="24">
        <v>43623</v>
      </c>
      <c r="L33" s="24">
        <v>45323</v>
      </c>
    </row>
    <row r="34" spans="2:12" ht="18.75">
      <c r="B34" s="3"/>
      <c r="C34" s="7" t="s">
        <v>357</v>
      </c>
      <c r="D34" s="48">
        <v>11726.772792</v>
      </c>
      <c r="E34" s="24">
        <v>13192.619391</v>
      </c>
      <c r="F34" s="24">
        <v>16058.697102237657</v>
      </c>
      <c r="G34" s="24">
        <v>18177.438573243893</v>
      </c>
      <c r="H34" s="24">
        <v>19010.971911699522</v>
      </c>
      <c r="I34" s="24">
        <v>20593.500948138208</v>
      </c>
      <c r="J34" s="24">
        <v>21629.78738611539</v>
      </c>
      <c r="K34" s="24">
        <v>23456.287282472098</v>
      </c>
      <c r="L34" s="24">
        <v>24777.898653631142</v>
      </c>
    </row>
    <row r="35" spans="2:12" ht="37.5">
      <c r="B35" s="3" t="s">
        <v>235</v>
      </c>
      <c r="C35" s="7" t="s">
        <v>279</v>
      </c>
      <c r="D35" s="7">
        <v>105.9</v>
      </c>
      <c r="E35" s="42">
        <v>106.7</v>
      </c>
      <c r="F35" s="42">
        <v>115.4</v>
      </c>
      <c r="G35" s="42">
        <v>118.6</v>
      </c>
      <c r="H35" s="42">
        <v>113.4</v>
      </c>
      <c r="I35" s="42">
        <v>117</v>
      </c>
      <c r="J35" s="42">
        <v>119.8</v>
      </c>
      <c r="K35" s="42">
        <v>108.4</v>
      </c>
      <c r="L35" s="42">
        <v>108.9</v>
      </c>
    </row>
    <row r="36" spans="2:12" ht="37.5">
      <c r="B36" s="3" t="s">
        <v>297</v>
      </c>
      <c r="C36" s="7" t="s">
        <v>77</v>
      </c>
      <c r="D36" s="7">
        <v>106.4</v>
      </c>
      <c r="E36" s="42">
        <v>112.5</v>
      </c>
      <c r="F36" s="42">
        <v>121.7248571060338</v>
      </c>
      <c r="G36" s="42">
        <v>113.19373207874384</v>
      </c>
      <c r="H36" s="42">
        <v>118.38427358500016</v>
      </c>
      <c r="I36" s="42">
        <v>113.29154470889323</v>
      </c>
      <c r="J36" s="42">
        <v>113.77528453873641</v>
      </c>
      <c r="K36" s="42">
        <v>113.90140676684072</v>
      </c>
      <c r="L36" s="42">
        <v>114.55451785687264</v>
      </c>
    </row>
    <row r="37" spans="2:12" ht="75">
      <c r="B37" s="3" t="s">
        <v>298</v>
      </c>
      <c r="C37" s="7" t="s">
        <v>291</v>
      </c>
      <c r="D37" s="7" t="s">
        <v>335</v>
      </c>
      <c r="E37" s="49">
        <v>4.132</v>
      </c>
      <c r="F37" s="24">
        <v>3.9254</v>
      </c>
      <c r="G37" s="24">
        <v>4.229068944</v>
      </c>
      <c r="H37" s="24">
        <v>4.2669412032</v>
      </c>
      <c r="I37" s="24">
        <v>4.459570117723776</v>
      </c>
      <c r="J37" s="24">
        <v>4.539521941142822</v>
      </c>
      <c r="K37" s="24">
        <v>4.68488989792177</v>
      </c>
      <c r="L37" s="24">
        <v>4.820563744518974</v>
      </c>
    </row>
    <row r="38" spans="2:12" ht="18.75">
      <c r="B38" s="3"/>
      <c r="C38" s="7" t="s">
        <v>357</v>
      </c>
      <c r="D38" s="7" t="s">
        <v>335</v>
      </c>
      <c r="E38" s="49">
        <v>4.132</v>
      </c>
      <c r="F38" s="24">
        <v>3.689285714285714</v>
      </c>
      <c r="G38" s="24">
        <v>3.707732142857143</v>
      </c>
      <c r="H38" s="24">
        <v>3.740935714285714</v>
      </c>
      <c r="I38" s="24">
        <v>3.7522249285714286</v>
      </c>
      <c r="J38" s="24">
        <v>3.819495364285714</v>
      </c>
      <c r="K38" s="24">
        <v>3.8085083025</v>
      </c>
      <c r="L38" s="24">
        <v>3.9188022437571424</v>
      </c>
    </row>
    <row r="39" spans="2:12" ht="37.5">
      <c r="B39" s="3" t="s">
        <v>236</v>
      </c>
      <c r="C39" s="7" t="s">
        <v>279</v>
      </c>
      <c r="D39" s="7" t="s">
        <v>335</v>
      </c>
      <c r="E39" s="49">
        <v>105.3</v>
      </c>
      <c r="F39" s="49">
        <v>106.4</v>
      </c>
      <c r="G39" s="49">
        <v>107.2</v>
      </c>
      <c r="H39" s="49">
        <v>107.2</v>
      </c>
      <c r="I39" s="49">
        <v>104.2</v>
      </c>
      <c r="J39" s="49">
        <v>104.2</v>
      </c>
      <c r="K39" s="49">
        <v>103.5</v>
      </c>
      <c r="L39" s="49">
        <v>103.5</v>
      </c>
    </row>
    <row r="40" spans="2:12" ht="37.5">
      <c r="B40" s="3" t="s">
        <v>299</v>
      </c>
      <c r="C40" s="7" t="s">
        <v>77</v>
      </c>
      <c r="D40" s="7" t="s">
        <v>335</v>
      </c>
      <c r="E40" s="49" t="s">
        <v>335</v>
      </c>
      <c r="F40" s="42">
        <v>89.28571428571428</v>
      </c>
      <c r="G40" s="42">
        <v>100.5</v>
      </c>
      <c r="H40" s="42">
        <v>101.4</v>
      </c>
      <c r="I40" s="42">
        <v>101.2</v>
      </c>
      <c r="J40" s="42">
        <v>102.1</v>
      </c>
      <c r="K40" s="42">
        <v>101.5</v>
      </c>
      <c r="L40" s="42">
        <v>102.6</v>
      </c>
    </row>
    <row r="41" spans="2:12" ht="18.75">
      <c r="B41" s="1" t="s">
        <v>300</v>
      </c>
      <c r="C41" s="7"/>
      <c r="D41" s="7"/>
      <c r="E41" s="19"/>
      <c r="F41" s="19"/>
      <c r="G41" s="19"/>
      <c r="H41" s="19"/>
      <c r="I41" s="19"/>
      <c r="J41" s="19"/>
      <c r="K41" s="19"/>
      <c r="L41" s="19"/>
    </row>
    <row r="42" spans="2:12" ht="56.25">
      <c r="B42" s="3" t="s">
        <v>301</v>
      </c>
      <c r="C42" s="7" t="s">
        <v>291</v>
      </c>
      <c r="D42" s="48">
        <v>1733.667</v>
      </c>
      <c r="E42" s="24">
        <v>1410.455</v>
      </c>
      <c r="F42" s="24">
        <v>1311.700888091873</v>
      </c>
      <c r="G42" s="24">
        <v>1379.0312110996363</v>
      </c>
      <c r="H42" s="24">
        <v>1440.310104597818</v>
      </c>
      <c r="I42" s="24">
        <v>1455.278926125138</v>
      </c>
      <c r="J42" s="24">
        <v>1528.90893493541</v>
      </c>
      <c r="K42" s="24">
        <v>1540.8235781125002</v>
      </c>
      <c r="L42" s="24">
        <v>1634.091856565049</v>
      </c>
    </row>
    <row r="43" spans="2:12" ht="18.75">
      <c r="B43" s="3"/>
      <c r="C43" s="7" t="s">
        <v>357</v>
      </c>
      <c r="D43" s="48">
        <v>1592.284757495942</v>
      </c>
      <c r="E43" s="24">
        <v>1290.8411253763802</v>
      </c>
      <c r="F43" s="24">
        <v>1000.3797630455406</v>
      </c>
      <c r="G43" s="24">
        <v>1002.4496533172688</v>
      </c>
      <c r="H43" s="24">
        <v>1009.1268398817731</v>
      </c>
      <c r="I43" s="24">
        <v>1009.9074952006789</v>
      </c>
      <c r="J43" s="24">
        <v>1024.5807138316188</v>
      </c>
      <c r="K43" s="24">
        <v>1018.2501420740282</v>
      </c>
      <c r="L43" s="24">
        <v>1046.7396247355161</v>
      </c>
    </row>
    <row r="44" spans="2:12" ht="37.5">
      <c r="B44" s="3" t="s">
        <v>237</v>
      </c>
      <c r="C44" s="7" t="s">
        <v>279</v>
      </c>
      <c r="D44" s="35">
        <v>105.9</v>
      </c>
      <c r="E44" s="42">
        <v>108.8</v>
      </c>
      <c r="F44" s="42">
        <v>120.00061546248395</v>
      </c>
      <c r="G44" s="42">
        <v>104.91597250671086</v>
      </c>
      <c r="H44" s="42">
        <v>108.85298309808715</v>
      </c>
      <c r="I44" s="42">
        <v>104.7497799839043</v>
      </c>
      <c r="J44" s="42">
        <v>104.55027796126991</v>
      </c>
      <c r="K44" s="42">
        <v>105.01075747633294</v>
      </c>
      <c r="L44" s="42">
        <v>104.61702332270985</v>
      </c>
    </row>
    <row r="45" spans="2:12" ht="37.5">
      <c r="B45" s="3" t="s">
        <v>302</v>
      </c>
      <c r="C45" s="7" t="s">
        <v>77</v>
      </c>
      <c r="D45" s="26">
        <v>102.4</v>
      </c>
      <c r="E45" s="45">
        <v>77.4</v>
      </c>
      <c r="F45" s="45">
        <v>77.49828723142458</v>
      </c>
      <c r="G45" s="45">
        <v>100.2069104502301</v>
      </c>
      <c r="H45" s="45">
        <v>100.87437562807177</v>
      </c>
      <c r="I45" s="45">
        <v>100.7439617399967</v>
      </c>
      <c r="J45" s="45">
        <v>101.53141045695071</v>
      </c>
      <c r="K45" s="45">
        <v>100.82608030072018</v>
      </c>
      <c r="L45" s="45">
        <v>102.1627296517255</v>
      </c>
    </row>
    <row r="46" spans="2:12" ht="75">
      <c r="B46" s="3" t="s">
        <v>303</v>
      </c>
      <c r="C46" s="7" t="s">
        <v>291</v>
      </c>
      <c r="D46" s="48">
        <v>88.964</v>
      </c>
      <c r="E46" s="24">
        <v>88.609</v>
      </c>
      <c r="F46" s="24">
        <v>96.58381000000001</v>
      </c>
      <c r="G46" s="24">
        <v>98.01634106992002</v>
      </c>
      <c r="H46" s="24">
        <v>99.09373347047001</v>
      </c>
      <c r="I46" s="24">
        <v>101.84917207111818</v>
      </c>
      <c r="J46" s="24">
        <v>103.30838814243604</v>
      </c>
      <c r="K46" s="24">
        <v>107.78341408184187</v>
      </c>
      <c r="L46" s="24">
        <v>109.6709451513524</v>
      </c>
    </row>
    <row r="47" spans="2:12" ht="18.75">
      <c r="B47" s="3"/>
      <c r="C47" s="7" t="s">
        <v>357</v>
      </c>
      <c r="D47" s="48">
        <v>84.40607210626186</v>
      </c>
      <c r="E47" s="24">
        <v>75.73807203788228</v>
      </c>
      <c r="F47" s="24">
        <v>69.14112103960778</v>
      </c>
      <c r="G47" s="24">
        <v>65.82234722970661</v>
      </c>
      <c r="H47" s="24">
        <v>66.85946404530073</v>
      </c>
      <c r="I47" s="24">
        <v>64.76918967403131</v>
      </c>
      <c r="J47" s="24">
        <v>66.25772886889303</v>
      </c>
      <c r="K47" s="24">
        <v>65.09303562240147</v>
      </c>
      <c r="L47" s="24">
        <v>67.05282161531974</v>
      </c>
    </row>
    <row r="48" spans="2:12" ht="37.5">
      <c r="B48" s="3" t="s">
        <v>238</v>
      </c>
      <c r="C48" s="7" t="s">
        <v>279</v>
      </c>
      <c r="D48" s="35">
        <v>105.4</v>
      </c>
      <c r="E48" s="42">
        <v>111</v>
      </c>
      <c r="F48" s="42">
        <v>119.4</v>
      </c>
      <c r="G48" s="42">
        <v>106.6</v>
      </c>
      <c r="H48" s="42">
        <v>106.1</v>
      </c>
      <c r="I48" s="42">
        <v>105.6</v>
      </c>
      <c r="J48" s="42">
        <v>105.2</v>
      </c>
      <c r="K48" s="42">
        <v>105.3</v>
      </c>
      <c r="L48" s="42">
        <v>104.9</v>
      </c>
    </row>
    <row r="49" spans="2:12" ht="37.5">
      <c r="B49" s="3" t="s">
        <v>304</v>
      </c>
      <c r="C49" s="7" t="s">
        <v>77</v>
      </c>
      <c r="D49" s="35">
        <v>85.17692326178097</v>
      </c>
      <c r="E49" s="42">
        <v>89.73059656482164</v>
      </c>
      <c r="F49" s="42">
        <v>91.28978224455614</v>
      </c>
      <c r="G49" s="42">
        <v>95.2</v>
      </c>
      <c r="H49" s="42">
        <v>96.7</v>
      </c>
      <c r="I49" s="42">
        <v>98.4</v>
      </c>
      <c r="J49" s="42">
        <v>99.1</v>
      </c>
      <c r="K49" s="42">
        <v>100.5</v>
      </c>
      <c r="L49" s="42">
        <v>101.2</v>
      </c>
    </row>
    <row r="50" spans="2:12" ht="56.25">
      <c r="B50" s="3" t="s">
        <v>305</v>
      </c>
      <c r="C50" s="7" t="s">
        <v>291</v>
      </c>
      <c r="D50" s="7" t="s">
        <v>335</v>
      </c>
      <c r="E50" s="49" t="s">
        <v>335</v>
      </c>
      <c r="F50" s="49" t="s">
        <v>335</v>
      </c>
      <c r="G50" s="49" t="s">
        <v>335</v>
      </c>
      <c r="H50" s="49" t="s">
        <v>335</v>
      </c>
      <c r="I50" s="49" t="s">
        <v>335</v>
      </c>
      <c r="J50" s="49" t="s">
        <v>335</v>
      </c>
      <c r="K50" s="49" t="s">
        <v>335</v>
      </c>
      <c r="L50" s="49" t="s">
        <v>335</v>
      </c>
    </row>
    <row r="51" spans="2:12" ht="18.75">
      <c r="B51" s="3"/>
      <c r="C51" s="7" t="s">
        <v>357</v>
      </c>
      <c r="D51" s="7" t="s">
        <v>335</v>
      </c>
      <c r="E51" s="49" t="s">
        <v>335</v>
      </c>
      <c r="F51" s="49" t="s">
        <v>335</v>
      </c>
      <c r="G51" s="49" t="s">
        <v>335</v>
      </c>
      <c r="H51" s="49" t="s">
        <v>335</v>
      </c>
      <c r="I51" s="49" t="s">
        <v>335</v>
      </c>
      <c r="J51" s="49" t="s">
        <v>335</v>
      </c>
      <c r="K51" s="49" t="s">
        <v>335</v>
      </c>
      <c r="L51" s="49" t="s">
        <v>335</v>
      </c>
    </row>
    <row r="52" spans="2:12" ht="37.5">
      <c r="B52" s="3" t="s">
        <v>239</v>
      </c>
      <c r="C52" s="7" t="s">
        <v>279</v>
      </c>
      <c r="D52" s="7" t="s">
        <v>335</v>
      </c>
      <c r="E52" s="49" t="s">
        <v>335</v>
      </c>
      <c r="F52" s="49" t="s">
        <v>335</v>
      </c>
      <c r="G52" s="49" t="s">
        <v>335</v>
      </c>
      <c r="H52" s="49" t="s">
        <v>335</v>
      </c>
      <c r="I52" s="49" t="s">
        <v>335</v>
      </c>
      <c r="J52" s="49" t="s">
        <v>335</v>
      </c>
      <c r="K52" s="49" t="s">
        <v>335</v>
      </c>
      <c r="L52" s="49" t="s">
        <v>335</v>
      </c>
    </row>
    <row r="53" spans="2:12" ht="37.5">
      <c r="B53" s="3" t="s">
        <v>306</v>
      </c>
      <c r="C53" s="7" t="s">
        <v>279</v>
      </c>
      <c r="D53" s="7" t="s">
        <v>335</v>
      </c>
      <c r="E53" s="49" t="s">
        <v>335</v>
      </c>
      <c r="F53" s="49" t="s">
        <v>335</v>
      </c>
      <c r="G53" s="49" t="s">
        <v>335</v>
      </c>
      <c r="H53" s="49" t="s">
        <v>335</v>
      </c>
      <c r="I53" s="49" t="s">
        <v>335</v>
      </c>
      <c r="J53" s="49" t="s">
        <v>335</v>
      </c>
      <c r="K53" s="49" t="s">
        <v>335</v>
      </c>
      <c r="L53" s="49" t="s">
        <v>335</v>
      </c>
    </row>
    <row r="54" spans="2:12" ht="75">
      <c r="B54" s="66" t="s">
        <v>307</v>
      </c>
      <c r="C54" s="7" t="s">
        <v>291</v>
      </c>
      <c r="D54" s="48">
        <v>0.313</v>
      </c>
      <c r="E54" s="24">
        <v>0.533</v>
      </c>
      <c r="F54" s="24">
        <v>0.3653780918727915</v>
      </c>
      <c r="G54" s="24">
        <v>0.39778055181625444</v>
      </c>
      <c r="H54" s="24">
        <v>0.39859972949823325</v>
      </c>
      <c r="I54" s="24">
        <v>0.4293981389773694</v>
      </c>
      <c r="J54" s="24">
        <v>0.43236989578078255</v>
      </c>
      <c r="K54" s="24">
        <v>0.4630930109429236</v>
      </c>
      <c r="L54" s="24">
        <v>0.4689985438717474</v>
      </c>
    </row>
    <row r="55" spans="2:12" ht="18.75">
      <c r="B55" s="3"/>
      <c r="C55" s="7" t="s">
        <v>357</v>
      </c>
      <c r="D55" s="48">
        <v>0.29923518164435947</v>
      </c>
      <c r="E55" s="24">
        <v>0.48026411823327686</v>
      </c>
      <c r="F55" s="24">
        <v>0.2663648808342645</v>
      </c>
      <c r="G55" s="24">
        <v>0.2740894623784582</v>
      </c>
      <c r="H55" s="24">
        <v>0.2762203814251323</v>
      </c>
      <c r="I55" s="24">
        <v>0.28313441463694733</v>
      </c>
      <c r="J55" s="24">
        <v>0.28782163744498784</v>
      </c>
      <c r="K55" s="24">
        <v>0.2930441191492405</v>
      </c>
      <c r="L55" s="24">
        <v>0.3004857894925673</v>
      </c>
    </row>
    <row r="56" spans="2:12" ht="37.5">
      <c r="B56" s="3" t="s">
        <v>240</v>
      </c>
      <c r="C56" s="7" t="s">
        <v>279</v>
      </c>
      <c r="D56" s="35">
        <v>104.6</v>
      </c>
      <c r="E56" s="42">
        <v>106.1</v>
      </c>
      <c r="F56" s="42">
        <v>123.6</v>
      </c>
      <c r="G56" s="42">
        <v>105.8</v>
      </c>
      <c r="H56" s="42">
        <v>105.2</v>
      </c>
      <c r="I56" s="42">
        <v>104.5</v>
      </c>
      <c r="J56" s="42">
        <v>104.1</v>
      </c>
      <c r="K56" s="42">
        <v>104.2</v>
      </c>
      <c r="L56" s="42">
        <v>103.9</v>
      </c>
    </row>
    <row r="57" spans="2:12" ht="37.5">
      <c r="B57" s="3" t="s">
        <v>308</v>
      </c>
      <c r="C57" s="7" t="s">
        <v>77</v>
      </c>
      <c r="D57" s="35">
        <v>102.82995932795859</v>
      </c>
      <c r="E57" s="42">
        <v>160.49721011885225</v>
      </c>
      <c r="F57" s="42">
        <v>55.46216565462509</v>
      </c>
      <c r="G57" s="42">
        <v>102.9</v>
      </c>
      <c r="H57" s="42">
        <v>103.7</v>
      </c>
      <c r="I57" s="42">
        <v>103.3</v>
      </c>
      <c r="J57" s="42">
        <v>104.2</v>
      </c>
      <c r="K57" s="42">
        <v>103.5</v>
      </c>
      <c r="L57" s="42">
        <v>104.4</v>
      </c>
    </row>
    <row r="58" spans="2:12" ht="56.25">
      <c r="B58" s="3" t="s">
        <v>309</v>
      </c>
      <c r="C58" s="7" t="s">
        <v>291</v>
      </c>
      <c r="D58" s="11">
        <v>0.454</v>
      </c>
      <c r="E58" s="12">
        <v>0.41</v>
      </c>
      <c r="F58" s="12">
        <v>0.105</v>
      </c>
      <c r="G58" s="12">
        <v>0.10748881499999997</v>
      </c>
      <c r="H58" s="12">
        <v>0.10813162500000001</v>
      </c>
      <c r="I58" s="12">
        <v>0.11277511492169999</v>
      </c>
      <c r="J58" s="12">
        <v>0.113683535154</v>
      </c>
      <c r="K58" s="12">
        <v>0.11946989684391178</v>
      </c>
      <c r="L58" s="12">
        <v>0.11938374129015672</v>
      </c>
    </row>
    <row r="59" spans="2:12" ht="18.75">
      <c r="B59" s="3"/>
      <c r="C59" s="7" t="s">
        <v>357</v>
      </c>
      <c r="D59" s="11">
        <v>0.43653846153846154</v>
      </c>
      <c r="E59" s="24">
        <v>0.3324036840057076</v>
      </c>
      <c r="F59" s="24">
        <v>0.06815674358140032</v>
      </c>
      <c r="G59" s="24">
        <v>0.06754333288916771</v>
      </c>
      <c r="H59" s="24">
        <v>0.06720561622472186</v>
      </c>
      <c r="I59" s="24">
        <v>0.06781350622072439</v>
      </c>
      <c r="J59" s="24">
        <v>0.06774326115451963</v>
      </c>
      <c r="K59" s="24">
        <v>0.06828820076426947</v>
      </c>
      <c r="L59" s="24">
        <v>0.06794649093798319</v>
      </c>
    </row>
    <row r="60" spans="2:12" ht="37.5">
      <c r="B60" s="3" t="s">
        <v>241</v>
      </c>
      <c r="C60" s="7" t="s">
        <v>279</v>
      </c>
      <c r="D60" s="35">
        <v>104</v>
      </c>
      <c r="E60" s="42">
        <v>118.6</v>
      </c>
      <c r="F60" s="42">
        <v>124.9</v>
      </c>
      <c r="G60" s="42">
        <v>103.3</v>
      </c>
      <c r="H60" s="42">
        <v>103.5</v>
      </c>
      <c r="I60" s="42">
        <v>104.5</v>
      </c>
      <c r="J60" s="42">
        <v>104.3</v>
      </c>
      <c r="K60" s="42">
        <v>105.2</v>
      </c>
      <c r="L60" s="42">
        <v>104.7</v>
      </c>
    </row>
    <row r="61" spans="2:12" ht="37.5">
      <c r="B61" s="3" t="s">
        <v>310</v>
      </c>
      <c r="C61" s="7" t="s">
        <v>279</v>
      </c>
      <c r="D61" s="35">
        <v>29.141419328335218</v>
      </c>
      <c r="E61" s="42">
        <v>76.14533730527222</v>
      </c>
      <c r="F61" s="42">
        <v>20.504208244644495</v>
      </c>
      <c r="G61" s="42">
        <v>99.1</v>
      </c>
      <c r="H61" s="42">
        <v>99.5</v>
      </c>
      <c r="I61" s="42">
        <v>100.4</v>
      </c>
      <c r="J61" s="42">
        <v>100.8</v>
      </c>
      <c r="K61" s="42">
        <v>100.7</v>
      </c>
      <c r="L61" s="42">
        <v>100.3</v>
      </c>
    </row>
    <row r="62" spans="2:12" ht="75">
      <c r="B62" s="3" t="s">
        <v>311</v>
      </c>
      <c r="C62" s="7" t="s">
        <v>291</v>
      </c>
      <c r="D62" s="11">
        <v>2.956</v>
      </c>
      <c r="E62" s="12">
        <v>3.121</v>
      </c>
      <c r="F62" s="12">
        <v>3.27705</v>
      </c>
      <c r="G62" s="12">
        <v>3.48161329215</v>
      </c>
      <c r="H62" s="12">
        <v>3.5707523292</v>
      </c>
      <c r="I62" s="12">
        <v>3.7190419106081696</v>
      </c>
      <c r="J62" s="12">
        <v>3.9202218596588043</v>
      </c>
      <c r="K62" s="12">
        <v>3.932909134719602</v>
      </c>
      <c r="L62" s="12">
        <v>4.242377851641846</v>
      </c>
    </row>
    <row r="63" spans="2:12" ht="18.75">
      <c r="B63" s="3"/>
      <c r="C63" s="7" t="s">
        <v>357</v>
      </c>
      <c r="D63" s="48">
        <v>2.765201122544434</v>
      </c>
      <c r="E63" s="24">
        <v>2.6834108292521877</v>
      </c>
      <c r="F63" s="24">
        <v>2.3898060820312104</v>
      </c>
      <c r="G63" s="24">
        <v>2.344399766472617</v>
      </c>
      <c r="H63" s="24">
        <v>2.3802468577030855</v>
      </c>
      <c r="I63" s="24">
        <v>2.3514329657720348</v>
      </c>
      <c r="J63" s="24">
        <v>2.4040493262801164</v>
      </c>
      <c r="K63" s="24">
        <v>2.377298728395527</v>
      </c>
      <c r="L63" s="24">
        <v>2.449726263479439</v>
      </c>
    </row>
    <row r="64" spans="2:12" ht="56.25">
      <c r="B64" s="3" t="s">
        <v>242</v>
      </c>
      <c r="C64" s="7" t="s">
        <v>279</v>
      </c>
      <c r="D64" s="35">
        <v>106.9</v>
      </c>
      <c r="E64" s="42">
        <v>108.8</v>
      </c>
      <c r="F64" s="42">
        <v>117.9</v>
      </c>
      <c r="G64" s="42">
        <v>108.3</v>
      </c>
      <c r="H64" s="42">
        <v>109.4</v>
      </c>
      <c r="I64" s="42">
        <v>106.5</v>
      </c>
      <c r="J64" s="42">
        <v>108.7</v>
      </c>
      <c r="K64" s="42">
        <v>104.6</v>
      </c>
      <c r="L64" s="42">
        <v>106.2</v>
      </c>
    </row>
    <row r="65" spans="2:12" ht="56.25">
      <c r="B65" s="3" t="s">
        <v>312</v>
      </c>
      <c r="C65" s="7" t="s">
        <v>77</v>
      </c>
      <c r="D65" s="35">
        <v>95.88076014370436</v>
      </c>
      <c r="E65" s="42">
        <v>97.04215752606862</v>
      </c>
      <c r="F65" s="42">
        <v>89.05852417302799</v>
      </c>
      <c r="G65" s="42">
        <v>98.1</v>
      </c>
      <c r="H65" s="42">
        <v>99.6</v>
      </c>
      <c r="I65" s="42">
        <v>100.3</v>
      </c>
      <c r="J65" s="42">
        <v>101</v>
      </c>
      <c r="K65" s="42">
        <v>101.1</v>
      </c>
      <c r="L65" s="42">
        <v>101.9</v>
      </c>
    </row>
    <row r="66" spans="2:12" ht="56.25">
      <c r="B66" s="3" t="s">
        <v>313</v>
      </c>
      <c r="C66" s="7" t="s">
        <v>291</v>
      </c>
      <c r="D66" s="7" t="s">
        <v>335</v>
      </c>
      <c r="E66" s="49" t="s">
        <v>335</v>
      </c>
      <c r="F66" s="49" t="s">
        <v>335</v>
      </c>
      <c r="G66" s="49" t="s">
        <v>335</v>
      </c>
      <c r="H66" s="49" t="s">
        <v>335</v>
      </c>
      <c r="I66" s="49" t="s">
        <v>335</v>
      </c>
      <c r="J66" s="49" t="s">
        <v>335</v>
      </c>
      <c r="K66" s="49" t="s">
        <v>335</v>
      </c>
      <c r="L66" s="49" t="s">
        <v>335</v>
      </c>
    </row>
    <row r="67" spans="2:12" ht="18.75">
      <c r="B67" s="3"/>
      <c r="C67" s="7" t="s">
        <v>357</v>
      </c>
      <c r="D67" s="7" t="s">
        <v>335</v>
      </c>
      <c r="E67" s="49" t="s">
        <v>335</v>
      </c>
      <c r="F67" s="49" t="s">
        <v>335</v>
      </c>
      <c r="G67" s="49" t="s">
        <v>335</v>
      </c>
      <c r="H67" s="49" t="s">
        <v>335</v>
      </c>
      <c r="I67" s="49" t="s">
        <v>335</v>
      </c>
      <c r="J67" s="49" t="s">
        <v>335</v>
      </c>
      <c r="K67" s="49" t="s">
        <v>335</v>
      </c>
      <c r="L67" s="49" t="s">
        <v>335</v>
      </c>
    </row>
    <row r="68" spans="2:12" ht="37.5">
      <c r="B68" s="3" t="s">
        <v>243</v>
      </c>
      <c r="C68" s="7" t="s">
        <v>279</v>
      </c>
      <c r="D68" s="7" t="s">
        <v>335</v>
      </c>
      <c r="E68" s="49" t="s">
        <v>335</v>
      </c>
      <c r="F68" s="49" t="s">
        <v>335</v>
      </c>
      <c r="G68" s="49" t="s">
        <v>335</v>
      </c>
      <c r="H68" s="49" t="s">
        <v>335</v>
      </c>
      <c r="I68" s="49" t="s">
        <v>335</v>
      </c>
      <c r="J68" s="49" t="s">
        <v>335</v>
      </c>
      <c r="K68" s="49" t="s">
        <v>335</v>
      </c>
      <c r="L68" s="49" t="s">
        <v>335</v>
      </c>
    </row>
    <row r="69" spans="2:12" ht="37.5">
      <c r="B69" s="3" t="s">
        <v>314</v>
      </c>
      <c r="C69" s="7" t="s">
        <v>77</v>
      </c>
      <c r="D69" s="7" t="s">
        <v>335</v>
      </c>
      <c r="E69" s="49" t="s">
        <v>335</v>
      </c>
      <c r="F69" s="49" t="s">
        <v>335</v>
      </c>
      <c r="G69" s="49" t="s">
        <v>335</v>
      </c>
      <c r="H69" s="49" t="s">
        <v>335</v>
      </c>
      <c r="I69" s="49" t="s">
        <v>335</v>
      </c>
      <c r="J69" s="49" t="s">
        <v>335</v>
      </c>
      <c r="K69" s="49" t="s">
        <v>335</v>
      </c>
      <c r="L69" s="49" t="s">
        <v>335</v>
      </c>
    </row>
    <row r="70" spans="2:12" ht="56.25">
      <c r="B70" s="3" t="s">
        <v>315</v>
      </c>
      <c r="C70" s="7" t="s">
        <v>291</v>
      </c>
      <c r="D70" s="48">
        <v>1.081</v>
      </c>
      <c r="E70" s="24">
        <v>1.451</v>
      </c>
      <c r="F70" s="24">
        <v>0.9431499999999999</v>
      </c>
      <c r="G70" s="24">
        <v>1.1259937747499997</v>
      </c>
      <c r="H70" s="24">
        <v>1.15064394315</v>
      </c>
      <c r="I70" s="24">
        <v>1.2339596878419035</v>
      </c>
      <c r="J70" s="24">
        <v>1.2717745323332867</v>
      </c>
      <c r="K70" s="24">
        <v>1.3538364035963686</v>
      </c>
      <c r="L70" s="24">
        <v>1.4090880285893117</v>
      </c>
    </row>
    <row r="71" spans="2:12" ht="18.75">
      <c r="B71" s="3"/>
      <c r="C71" s="7" t="s">
        <v>357</v>
      </c>
      <c r="D71" s="48">
        <v>1.1098562628336754</v>
      </c>
      <c r="E71" s="24">
        <v>1.3935762951807806</v>
      </c>
      <c r="F71" s="24">
        <v>0.7461487577162333</v>
      </c>
      <c r="G71" s="24">
        <v>0.8364327573998974</v>
      </c>
      <c r="H71" s="24">
        <v>0.8483711375233574</v>
      </c>
      <c r="I71" s="24">
        <v>0.8908008866308907</v>
      </c>
      <c r="J71" s="24">
        <v>0.9086054882875156</v>
      </c>
      <c r="K71" s="24">
        <v>0.9638465593346238</v>
      </c>
      <c r="L71" s="24">
        <v>0.9967402206514047</v>
      </c>
    </row>
    <row r="72" spans="2:12" ht="37.5">
      <c r="B72" s="3" t="s">
        <v>244</v>
      </c>
      <c r="C72" s="7" t="s">
        <v>279</v>
      </c>
      <c r="D72" s="35">
        <v>96.5</v>
      </c>
      <c r="E72" s="42">
        <v>106.9</v>
      </c>
      <c r="F72" s="42">
        <v>121.4</v>
      </c>
      <c r="G72" s="42">
        <v>106.5</v>
      </c>
      <c r="H72" s="42">
        <v>107.3</v>
      </c>
      <c r="I72" s="42">
        <v>102.9</v>
      </c>
      <c r="J72" s="42">
        <v>103.2</v>
      </c>
      <c r="K72" s="42">
        <v>101.4</v>
      </c>
      <c r="L72" s="42">
        <v>101</v>
      </c>
    </row>
    <row r="73" spans="2:12" ht="37.5">
      <c r="B73" s="3" t="s">
        <v>316</v>
      </c>
      <c r="C73" s="7" t="s">
        <v>77</v>
      </c>
      <c r="D73" s="35">
        <v>128.75362677884866</v>
      </c>
      <c r="E73" s="42">
        <v>125.56367358983168</v>
      </c>
      <c r="F73" s="42">
        <v>53.542009884678734</v>
      </c>
      <c r="G73" s="42">
        <v>112.1</v>
      </c>
      <c r="H73" s="42">
        <v>113.7</v>
      </c>
      <c r="I73" s="42">
        <v>106.5</v>
      </c>
      <c r="J73" s="42">
        <v>107.1</v>
      </c>
      <c r="K73" s="42">
        <v>108.2</v>
      </c>
      <c r="L73" s="42">
        <v>109.7</v>
      </c>
    </row>
    <row r="74" spans="2:12" ht="56.25">
      <c r="B74" s="63" t="s">
        <v>317</v>
      </c>
      <c r="C74" s="7" t="s">
        <v>291</v>
      </c>
      <c r="D74" s="7" t="s">
        <v>335</v>
      </c>
      <c r="E74" s="49" t="s">
        <v>335</v>
      </c>
      <c r="F74" s="49" t="s">
        <v>335</v>
      </c>
      <c r="G74" s="49" t="s">
        <v>335</v>
      </c>
      <c r="H74" s="49" t="s">
        <v>335</v>
      </c>
      <c r="I74" s="49" t="s">
        <v>335</v>
      </c>
      <c r="J74" s="49" t="s">
        <v>335</v>
      </c>
      <c r="K74" s="49" t="s">
        <v>335</v>
      </c>
      <c r="L74" s="49" t="s">
        <v>335</v>
      </c>
    </row>
    <row r="75" spans="2:12" ht="18.75">
      <c r="B75" s="63"/>
      <c r="C75" s="7" t="s">
        <v>357</v>
      </c>
      <c r="D75" s="7" t="s">
        <v>335</v>
      </c>
      <c r="E75" s="49" t="s">
        <v>335</v>
      </c>
      <c r="F75" s="49" t="s">
        <v>335</v>
      </c>
      <c r="G75" s="49" t="s">
        <v>335</v>
      </c>
      <c r="H75" s="49" t="s">
        <v>335</v>
      </c>
      <c r="I75" s="49" t="s">
        <v>335</v>
      </c>
      <c r="J75" s="49" t="s">
        <v>335</v>
      </c>
      <c r="K75" s="49" t="s">
        <v>335</v>
      </c>
      <c r="L75" s="49" t="s">
        <v>335</v>
      </c>
    </row>
    <row r="76" spans="2:12" ht="37.5">
      <c r="B76" s="3" t="s">
        <v>245</v>
      </c>
      <c r="C76" s="7" t="s">
        <v>279</v>
      </c>
      <c r="D76" s="7" t="s">
        <v>335</v>
      </c>
      <c r="E76" s="49" t="s">
        <v>335</v>
      </c>
      <c r="F76" s="49" t="s">
        <v>335</v>
      </c>
      <c r="G76" s="49" t="s">
        <v>335</v>
      </c>
      <c r="H76" s="49" t="s">
        <v>335</v>
      </c>
      <c r="I76" s="49" t="s">
        <v>335</v>
      </c>
      <c r="J76" s="49" t="s">
        <v>335</v>
      </c>
      <c r="K76" s="49" t="s">
        <v>335</v>
      </c>
      <c r="L76" s="49" t="s">
        <v>335</v>
      </c>
    </row>
    <row r="77" spans="2:12" ht="37.5">
      <c r="B77" s="3" t="s">
        <v>318</v>
      </c>
      <c r="C77" s="7" t="s">
        <v>279</v>
      </c>
      <c r="D77" s="7" t="s">
        <v>335</v>
      </c>
      <c r="E77" s="49" t="s">
        <v>335</v>
      </c>
      <c r="F77" s="49" t="s">
        <v>335</v>
      </c>
      <c r="G77" s="49" t="s">
        <v>335</v>
      </c>
      <c r="H77" s="49" t="s">
        <v>335</v>
      </c>
      <c r="I77" s="49" t="s">
        <v>335</v>
      </c>
      <c r="J77" s="49" t="s">
        <v>335</v>
      </c>
      <c r="K77" s="49" t="s">
        <v>335</v>
      </c>
      <c r="L77" s="49" t="s">
        <v>335</v>
      </c>
    </row>
    <row r="78" spans="2:12" ht="75">
      <c r="B78" s="3" t="s">
        <v>319</v>
      </c>
      <c r="C78" s="7" t="s">
        <v>291</v>
      </c>
      <c r="D78" s="48">
        <v>6.809</v>
      </c>
      <c r="E78" s="24">
        <v>10.047</v>
      </c>
      <c r="F78" s="24">
        <v>6.156</v>
      </c>
      <c r="G78" s="24">
        <v>6.579889847999999</v>
      </c>
      <c r="H78" s="24">
        <v>6.655608647999999</v>
      </c>
      <c r="I78" s="24">
        <v>7.002943865777159</v>
      </c>
      <c r="J78" s="24">
        <v>7.153075460786112</v>
      </c>
      <c r="K78" s="24">
        <v>7.511126493285011</v>
      </c>
      <c r="L78" s="24">
        <v>7.740586160682318</v>
      </c>
    </row>
    <row r="79" spans="2:12" ht="18.75">
      <c r="B79" s="3"/>
      <c r="C79" s="7" t="s">
        <v>357</v>
      </c>
      <c r="D79" s="48">
        <v>6.3934272300469495</v>
      </c>
      <c r="E79" s="24">
        <v>9.98707753479125</v>
      </c>
      <c r="F79" s="24">
        <v>5.608876530004207</v>
      </c>
      <c r="G79" s="24">
        <v>5.597658776944198</v>
      </c>
      <c r="H79" s="24">
        <v>5.6200942830642155</v>
      </c>
      <c r="I79" s="24">
        <v>5.6256470708289195</v>
      </c>
      <c r="J79" s="24">
        <v>5.687535414460987</v>
      </c>
      <c r="K79" s="24">
        <v>5.67627789446638</v>
      </c>
      <c r="L79" s="24">
        <v>5.789911051921284</v>
      </c>
    </row>
    <row r="80" spans="2:12" ht="37.5">
      <c r="B80" s="3" t="s">
        <v>246</v>
      </c>
      <c r="C80" s="7" t="s">
        <v>279</v>
      </c>
      <c r="D80" s="35">
        <v>109</v>
      </c>
      <c r="E80" s="42">
        <v>100.6</v>
      </c>
      <c r="F80" s="42">
        <v>109.1</v>
      </c>
      <c r="G80" s="42">
        <v>107.1</v>
      </c>
      <c r="H80" s="42">
        <v>107.9</v>
      </c>
      <c r="I80" s="42">
        <v>105.9</v>
      </c>
      <c r="J80" s="42">
        <v>106.2</v>
      </c>
      <c r="K80" s="42">
        <v>106.3</v>
      </c>
      <c r="L80" s="42">
        <v>106.3</v>
      </c>
    </row>
    <row r="81" spans="2:12" ht="37.5">
      <c r="B81" s="3" t="s">
        <v>320</v>
      </c>
      <c r="C81" s="7" t="s">
        <v>77</v>
      </c>
      <c r="D81" s="35">
        <v>81.08341445842674</v>
      </c>
      <c r="E81" s="42">
        <v>146.6746590511272</v>
      </c>
      <c r="F81" s="42">
        <v>56.161339595742355</v>
      </c>
      <c r="G81" s="42">
        <v>99.8</v>
      </c>
      <c r="H81" s="42">
        <v>100.2</v>
      </c>
      <c r="I81" s="42">
        <v>100.5</v>
      </c>
      <c r="J81" s="42">
        <v>101.2</v>
      </c>
      <c r="K81" s="42">
        <v>100.9</v>
      </c>
      <c r="L81" s="42">
        <v>101.8</v>
      </c>
    </row>
    <row r="82" spans="2:12" ht="75">
      <c r="B82" s="3" t="s">
        <v>321</v>
      </c>
      <c r="C82" s="7" t="s">
        <v>291</v>
      </c>
      <c r="D82" s="7" t="s">
        <v>335</v>
      </c>
      <c r="E82" s="49" t="s">
        <v>335</v>
      </c>
      <c r="F82" s="49" t="s">
        <v>335</v>
      </c>
      <c r="G82" s="49" t="s">
        <v>335</v>
      </c>
      <c r="H82" s="49" t="s">
        <v>335</v>
      </c>
      <c r="I82" s="49" t="s">
        <v>335</v>
      </c>
      <c r="J82" s="49" t="s">
        <v>335</v>
      </c>
      <c r="K82" s="49" t="s">
        <v>335</v>
      </c>
      <c r="L82" s="49" t="s">
        <v>335</v>
      </c>
    </row>
    <row r="83" spans="2:12" ht="18.75">
      <c r="B83" s="3"/>
      <c r="C83" s="7" t="s">
        <v>357</v>
      </c>
      <c r="D83" s="7" t="s">
        <v>335</v>
      </c>
      <c r="E83" s="49" t="s">
        <v>335</v>
      </c>
      <c r="F83" s="49" t="s">
        <v>335</v>
      </c>
      <c r="G83" s="49" t="s">
        <v>335</v>
      </c>
      <c r="H83" s="49" t="s">
        <v>335</v>
      </c>
      <c r="I83" s="49" t="s">
        <v>335</v>
      </c>
      <c r="J83" s="49" t="s">
        <v>335</v>
      </c>
      <c r="K83" s="49" t="s">
        <v>335</v>
      </c>
      <c r="L83" s="49" t="s">
        <v>335</v>
      </c>
    </row>
    <row r="84" spans="2:12" ht="56.25">
      <c r="B84" s="3" t="s">
        <v>247</v>
      </c>
      <c r="C84" s="7" t="s">
        <v>279</v>
      </c>
      <c r="D84" s="7" t="s">
        <v>335</v>
      </c>
      <c r="E84" s="49" t="s">
        <v>335</v>
      </c>
      <c r="F84" s="49" t="s">
        <v>335</v>
      </c>
      <c r="G84" s="49" t="s">
        <v>335</v>
      </c>
      <c r="H84" s="49" t="s">
        <v>335</v>
      </c>
      <c r="I84" s="49" t="s">
        <v>335</v>
      </c>
      <c r="J84" s="49" t="s">
        <v>335</v>
      </c>
      <c r="K84" s="49" t="s">
        <v>335</v>
      </c>
      <c r="L84" s="49" t="s">
        <v>335</v>
      </c>
    </row>
    <row r="85" spans="2:12" ht="37.5">
      <c r="B85" s="3" t="s">
        <v>322</v>
      </c>
      <c r="C85" s="7" t="s">
        <v>77</v>
      </c>
      <c r="D85" s="7" t="s">
        <v>335</v>
      </c>
      <c r="E85" s="49" t="s">
        <v>335</v>
      </c>
      <c r="F85" s="49" t="s">
        <v>335</v>
      </c>
      <c r="G85" s="49" t="s">
        <v>335</v>
      </c>
      <c r="H85" s="49" t="s">
        <v>335</v>
      </c>
      <c r="I85" s="49" t="s">
        <v>335</v>
      </c>
      <c r="J85" s="49" t="s">
        <v>335</v>
      </c>
      <c r="K85" s="49" t="s">
        <v>335</v>
      </c>
      <c r="L85" s="49" t="s">
        <v>335</v>
      </c>
    </row>
    <row r="86" spans="2:12" ht="75">
      <c r="B86" s="3" t="s">
        <v>10</v>
      </c>
      <c r="C86" s="7" t="s">
        <v>291</v>
      </c>
      <c r="D86" s="48">
        <v>1633.09</v>
      </c>
      <c r="E86" s="24">
        <v>1295.043</v>
      </c>
      <c r="F86" s="24">
        <v>1183</v>
      </c>
      <c r="G86" s="24">
        <v>1245.98292</v>
      </c>
      <c r="H86" s="24">
        <v>1304.8501829999998</v>
      </c>
      <c r="I86" s="24">
        <v>1314.9804701779199</v>
      </c>
      <c r="J86" s="24">
        <v>1385.3855362947597</v>
      </c>
      <c r="K86" s="24">
        <v>1390.3946001426236</v>
      </c>
      <c r="L86" s="24">
        <v>1479.5446496545692</v>
      </c>
    </row>
    <row r="87" spans="2:12" ht="18.75">
      <c r="B87" s="3"/>
      <c r="C87" s="7" t="s">
        <v>357</v>
      </c>
      <c r="D87" s="48">
        <v>1496.8744271310723</v>
      </c>
      <c r="E87" s="24">
        <v>1200.2263208770348</v>
      </c>
      <c r="F87" s="24">
        <v>904.6093715200163</v>
      </c>
      <c r="G87" s="24">
        <v>909.1324183776164</v>
      </c>
      <c r="H87" s="24">
        <v>914.5600746067364</v>
      </c>
      <c r="I87" s="24">
        <v>916.4054777246373</v>
      </c>
      <c r="J87" s="24">
        <v>929.1930358004442</v>
      </c>
      <c r="K87" s="24">
        <v>922.8203160687098</v>
      </c>
      <c r="L87" s="24">
        <v>948.7060895522535</v>
      </c>
    </row>
    <row r="88" spans="2:12" ht="56.25">
      <c r="B88" s="3" t="s">
        <v>248</v>
      </c>
      <c r="C88" s="7" t="s">
        <v>279</v>
      </c>
      <c r="D88" s="35">
        <v>106.8</v>
      </c>
      <c r="E88" s="42">
        <v>98.9</v>
      </c>
      <c r="F88" s="42">
        <v>121.2</v>
      </c>
      <c r="G88" s="42">
        <v>104.8</v>
      </c>
      <c r="H88" s="42">
        <v>109.1</v>
      </c>
      <c r="I88" s="42">
        <v>104.7</v>
      </c>
      <c r="J88" s="42">
        <v>104.5</v>
      </c>
      <c r="K88" s="42">
        <v>105</v>
      </c>
      <c r="L88" s="42">
        <v>104.6</v>
      </c>
    </row>
    <row r="89" spans="2:12" ht="37.5">
      <c r="B89" s="3" t="s">
        <v>11</v>
      </c>
      <c r="C89" s="7" t="s">
        <v>77</v>
      </c>
      <c r="D89" s="35">
        <v>98.21727109788642</v>
      </c>
      <c r="E89" s="42">
        <v>80.18216485783668</v>
      </c>
      <c r="F89" s="42">
        <v>75.36989947520864</v>
      </c>
      <c r="G89" s="42">
        <v>100.5</v>
      </c>
      <c r="H89" s="42">
        <v>101.1</v>
      </c>
      <c r="I89" s="42">
        <v>100.8</v>
      </c>
      <c r="J89" s="42">
        <v>101.6</v>
      </c>
      <c r="K89" s="42">
        <v>100.7</v>
      </c>
      <c r="L89" s="42">
        <v>102.1</v>
      </c>
    </row>
    <row r="90" spans="2:12" ht="75">
      <c r="B90" s="3" t="s">
        <v>12</v>
      </c>
      <c r="C90" s="7" t="s">
        <v>291</v>
      </c>
      <c r="D90" s="7" t="s">
        <v>335</v>
      </c>
      <c r="E90" s="49">
        <v>11.195</v>
      </c>
      <c r="F90" s="24">
        <v>21.2705</v>
      </c>
      <c r="G90" s="24">
        <v>23.339183747999996</v>
      </c>
      <c r="H90" s="24">
        <v>24.482451852499995</v>
      </c>
      <c r="I90" s="24">
        <v>25.95116515797367</v>
      </c>
      <c r="J90" s="24">
        <v>27.323885214501146</v>
      </c>
      <c r="K90" s="24">
        <v>29.26512894864691</v>
      </c>
      <c r="L90" s="24">
        <v>30.89582743305202</v>
      </c>
    </row>
    <row r="91" spans="2:12" ht="18.75">
      <c r="B91" s="3"/>
      <c r="C91" s="7" t="s">
        <v>357</v>
      </c>
      <c r="D91" s="7" t="s">
        <v>335</v>
      </c>
      <c r="E91" s="49">
        <v>11.195</v>
      </c>
      <c r="F91" s="24">
        <v>17.549917491749174</v>
      </c>
      <c r="G91" s="24">
        <v>18.374763613861386</v>
      </c>
      <c r="H91" s="24">
        <v>18.51516295379538</v>
      </c>
      <c r="I91" s="24">
        <v>19.51399895792079</v>
      </c>
      <c r="J91" s="24">
        <v>19.774194034653465</v>
      </c>
      <c r="K91" s="24">
        <v>20.95803488080693</v>
      </c>
      <c r="L91" s="24">
        <v>21.375903751460395</v>
      </c>
    </row>
    <row r="92" spans="2:12" ht="56.25">
      <c r="B92" s="3" t="s">
        <v>249</v>
      </c>
      <c r="C92" s="7" t="s">
        <v>279</v>
      </c>
      <c r="D92" s="7" t="s">
        <v>335</v>
      </c>
      <c r="E92" s="49">
        <v>98.9</v>
      </c>
      <c r="F92" s="49">
        <v>121.2</v>
      </c>
      <c r="G92" s="49">
        <v>104.8</v>
      </c>
      <c r="H92" s="49">
        <v>109.1</v>
      </c>
      <c r="I92" s="49">
        <v>104.7</v>
      </c>
      <c r="J92" s="49">
        <v>104.5</v>
      </c>
      <c r="K92" s="42">
        <v>105</v>
      </c>
      <c r="L92" s="49">
        <v>104.6</v>
      </c>
    </row>
    <row r="93" spans="2:12" ht="37.5">
      <c r="B93" s="3" t="s">
        <v>13</v>
      </c>
      <c r="C93" s="7" t="s">
        <v>77</v>
      </c>
      <c r="D93" s="7" t="s">
        <v>335</v>
      </c>
      <c r="E93" s="49" t="s">
        <v>335</v>
      </c>
      <c r="F93" s="42">
        <v>156.76567656765675</v>
      </c>
      <c r="G93" s="49">
        <v>104.7</v>
      </c>
      <c r="H93" s="49">
        <v>105.5</v>
      </c>
      <c r="I93" s="49">
        <v>106.2</v>
      </c>
      <c r="J93" s="49">
        <v>106.8</v>
      </c>
      <c r="K93" s="49">
        <v>107.4</v>
      </c>
      <c r="L93" s="49">
        <v>108.1</v>
      </c>
    </row>
    <row r="94" spans="2:12" ht="56.25">
      <c r="B94" s="3" t="s">
        <v>14</v>
      </c>
      <c r="C94" s="7" t="s">
        <v>291</v>
      </c>
      <c r="D94" s="7" t="s">
        <v>335</v>
      </c>
      <c r="E94" s="49" t="s">
        <v>335</v>
      </c>
      <c r="F94" s="49" t="s">
        <v>335</v>
      </c>
      <c r="G94" s="49" t="s">
        <v>335</v>
      </c>
      <c r="H94" s="49" t="s">
        <v>335</v>
      </c>
      <c r="I94" s="49" t="s">
        <v>335</v>
      </c>
      <c r="J94" s="49" t="s">
        <v>335</v>
      </c>
      <c r="K94" s="49" t="s">
        <v>335</v>
      </c>
      <c r="L94" s="49" t="s">
        <v>335</v>
      </c>
    </row>
    <row r="95" spans="2:12" ht="18.75">
      <c r="B95" s="3"/>
      <c r="C95" s="7" t="s">
        <v>357</v>
      </c>
      <c r="D95" s="7" t="s">
        <v>335</v>
      </c>
      <c r="E95" s="49" t="s">
        <v>335</v>
      </c>
      <c r="F95" s="49" t="s">
        <v>335</v>
      </c>
      <c r="G95" s="49" t="s">
        <v>335</v>
      </c>
      <c r="H95" s="49" t="s">
        <v>335</v>
      </c>
      <c r="I95" s="49" t="s">
        <v>335</v>
      </c>
      <c r="J95" s="49" t="s">
        <v>335</v>
      </c>
      <c r="K95" s="49" t="s">
        <v>335</v>
      </c>
      <c r="L95" s="49" t="s">
        <v>335</v>
      </c>
    </row>
    <row r="96" spans="2:12" ht="37.5">
      <c r="B96" s="3" t="s">
        <v>250</v>
      </c>
      <c r="C96" s="7" t="s">
        <v>279</v>
      </c>
      <c r="D96" s="7" t="s">
        <v>335</v>
      </c>
      <c r="E96" s="49" t="s">
        <v>335</v>
      </c>
      <c r="F96" s="49" t="s">
        <v>335</v>
      </c>
      <c r="G96" s="49" t="s">
        <v>335</v>
      </c>
      <c r="H96" s="49" t="s">
        <v>335</v>
      </c>
      <c r="I96" s="49" t="s">
        <v>335</v>
      </c>
      <c r="J96" s="49" t="s">
        <v>335</v>
      </c>
      <c r="K96" s="49" t="s">
        <v>335</v>
      </c>
      <c r="L96" s="49" t="s">
        <v>335</v>
      </c>
    </row>
    <row r="97" spans="2:12" ht="37.5">
      <c r="B97" s="3" t="s">
        <v>15</v>
      </c>
      <c r="C97" s="7" t="s">
        <v>77</v>
      </c>
      <c r="D97" s="7" t="s">
        <v>335</v>
      </c>
      <c r="E97" s="49" t="s">
        <v>335</v>
      </c>
      <c r="F97" s="49" t="s">
        <v>335</v>
      </c>
      <c r="G97" s="49" t="s">
        <v>335</v>
      </c>
      <c r="H97" s="49" t="s">
        <v>335</v>
      </c>
      <c r="I97" s="49" t="s">
        <v>335</v>
      </c>
      <c r="J97" s="49" t="s">
        <v>335</v>
      </c>
      <c r="K97" s="49" t="s">
        <v>335</v>
      </c>
      <c r="L97" s="49" t="s">
        <v>335</v>
      </c>
    </row>
    <row r="98" spans="2:12" ht="56.25">
      <c r="B98" s="3" t="s">
        <v>16</v>
      </c>
      <c r="C98" s="7" t="s">
        <v>291</v>
      </c>
      <c r="D98" s="7" t="s">
        <v>335</v>
      </c>
      <c r="E98" s="49" t="s">
        <v>335</v>
      </c>
      <c r="F98" s="49" t="s">
        <v>335</v>
      </c>
      <c r="G98" s="49" t="s">
        <v>335</v>
      </c>
      <c r="H98" s="49" t="s">
        <v>335</v>
      </c>
      <c r="I98" s="49" t="s">
        <v>335</v>
      </c>
      <c r="J98" s="49" t="s">
        <v>335</v>
      </c>
      <c r="K98" s="49" t="s">
        <v>335</v>
      </c>
      <c r="L98" s="49" t="s">
        <v>335</v>
      </c>
    </row>
    <row r="99" spans="2:12" ht="18.75">
      <c r="B99" s="3"/>
      <c r="C99" s="7" t="s">
        <v>357</v>
      </c>
      <c r="D99" s="7" t="s">
        <v>335</v>
      </c>
      <c r="E99" s="49" t="s">
        <v>335</v>
      </c>
      <c r="F99" s="49" t="s">
        <v>335</v>
      </c>
      <c r="G99" s="49" t="s">
        <v>335</v>
      </c>
      <c r="H99" s="49" t="s">
        <v>335</v>
      </c>
      <c r="I99" s="49" t="s">
        <v>335</v>
      </c>
      <c r="J99" s="49" t="s">
        <v>335</v>
      </c>
      <c r="K99" s="49" t="s">
        <v>335</v>
      </c>
      <c r="L99" s="49" t="s">
        <v>335</v>
      </c>
    </row>
    <row r="100" spans="2:12" ht="37.5">
      <c r="B100" s="3" t="s">
        <v>251</v>
      </c>
      <c r="C100" s="7" t="s">
        <v>279</v>
      </c>
      <c r="D100" s="7" t="s">
        <v>335</v>
      </c>
      <c r="E100" s="49" t="s">
        <v>335</v>
      </c>
      <c r="F100" s="49" t="s">
        <v>335</v>
      </c>
      <c r="G100" s="49" t="s">
        <v>335</v>
      </c>
      <c r="H100" s="49" t="s">
        <v>335</v>
      </c>
      <c r="I100" s="49" t="s">
        <v>335</v>
      </c>
      <c r="J100" s="49" t="s">
        <v>335</v>
      </c>
      <c r="K100" s="49" t="s">
        <v>335</v>
      </c>
      <c r="L100" s="49" t="s">
        <v>335</v>
      </c>
    </row>
    <row r="101" spans="2:12" ht="31.5">
      <c r="B101" s="3" t="s">
        <v>17</v>
      </c>
      <c r="C101" s="7" t="s">
        <v>77</v>
      </c>
      <c r="D101" s="7" t="s">
        <v>335</v>
      </c>
      <c r="E101" s="49" t="s">
        <v>335</v>
      </c>
      <c r="F101" s="49" t="s">
        <v>335</v>
      </c>
      <c r="G101" s="49" t="s">
        <v>335</v>
      </c>
      <c r="H101" s="49" t="s">
        <v>335</v>
      </c>
      <c r="I101" s="49" t="s">
        <v>335</v>
      </c>
      <c r="J101" s="49" t="s">
        <v>335</v>
      </c>
      <c r="K101" s="49" t="s">
        <v>335</v>
      </c>
      <c r="L101" s="49" t="s">
        <v>335</v>
      </c>
    </row>
    <row r="102" spans="2:12" ht="37.5">
      <c r="B102" s="1" t="s">
        <v>18</v>
      </c>
      <c r="C102" s="7"/>
      <c r="D102" s="7"/>
      <c r="E102" s="19"/>
      <c r="F102" s="19"/>
      <c r="G102" s="19"/>
      <c r="H102" s="19"/>
      <c r="I102" s="19"/>
      <c r="J102" s="19"/>
      <c r="K102" s="19"/>
      <c r="L102" s="19"/>
    </row>
    <row r="103" spans="2:12" ht="56.25">
      <c r="B103" s="3" t="s">
        <v>19</v>
      </c>
      <c r="C103" s="7" t="s">
        <v>291</v>
      </c>
      <c r="D103" s="48">
        <v>1028.788</v>
      </c>
      <c r="E103" s="24">
        <v>1187.737</v>
      </c>
      <c r="F103" s="24">
        <v>1389.6522899999998</v>
      </c>
      <c r="G103" s="24">
        <v>1552.5862416979198</v>
      </c>
      <c r="H103" s="24">
        <v>1563.3254745950399</v>
      </c>
      <c r="I103" s="24">
        <v>1711.6145452625542</v>
      </c>
      <c r="J103" s="24">
        <v>1735.2209271541376</v>
      </c>
      <c r="K103" s="24">
        <v>1863.4535831873409</v>
      </c>
      <c r="L103" s="24">
        <v>1902.2602344857037</v>
      </c>
    </row>
    <row r="104" spans="2:12" ht="18.75">
      <c r="B104" s="3"/>
      <c r="C104" s="7" t="s">
        <v>357</v>
      </c>
      <c r="D104" s="48">
        <v>924.166575</v>
      </c>
      <c r="E104" s="6">
        <v>865.0199141999999</v>
      </c>
      <c r="F104" s="6">
        <v>928.5076143247704</v>
      </c>
      <c r="G104" s="6">
        <v>939.6497056966676</v>
      </c>
      <c r="H104" s="6">
        <v>946.1492589969411</v>
      </c>
      <c r="I104" s="6">
        <v>955.6237506935109</v>
      </c>
      <c r="J104" s="6">
        <v>967.9106919538707</v>
      </c>
      <c r="K104" s="6">
        <v>964.2243644497526</v>
      </c>
      <c r="L104" s="6">
        <v>983.3972630251326</v>
      </c>
    </row>
    <row r="105" spans="2:12" ht="37.5">
      <c r="B105" s="3" t="s">
        <v>252</v>
      </c>
      <c r="C105" s="7" t="s">
        <v>279</v>
      </c>
      <c r="D105" s="35">
        <v>110.5</v>
      </c>
      <c r="E105" s="42">
        <v>105.4</v>
      </c>
      <c r="F105" s="42">
        <v>109</v>
      </c>
      <c r="G105" s="42">
        <v>110.4</v>
      </c>
      <c r="H105" s="42">
        <v>110.4</v>
      </c>
      <c r="I105" s="42">
        <v>108.4</v>
      </c>
      <c r="J105" s="42">
        <v>108.5</v>
      </c>
      <c r="K105" s="42">
        <v>107.9</v>
      </c>
      <c r="L105" s="42">
        <v>107.9</v>
      </c>
    </row>
    <row r="106" spans="2:12" ht="37.5">
      <c r="B106" s="3" t="s">
        <v>20</v>
      </c>
      <c r="C106" s="7" t="s">
        <v>77</v>
      </c>
      <c r="D106" s="26">
        <v>92.5</v>
      </c>
      <c r="E106" s="45">
        <v>93.6</v>
      </c>
      <c r="F106" s="45">
        <v>107.33944954128438</v>
      </c>
      <c r="G106" s="45">
        <v>101.2</v>
      </c>
      <c r="H106" s="45">
        <v>101.9</v>
      </c>
      <c r="I106" s="45">
        <v>101.7</v>
      </c>
      <c r="J106" s="45">
        <v>102.3</v>
      </c>
      <c r="K106" s="45">
        <v>100.9</v>
      </c>
      <c r="L106" s="45">
        <v>101.6</v>
      </c>
    </row>
    <row r="107" spans="2:12" ht="18.75">
      <c r="B107" s="1" t="s">
        <v>329</v>
      </c>
      <c r="C107" s="7"/>
      <c r="D107" s="18"/>
      <c r="E107" s="19"/>
      <c r="F107" s="19"/>
      <c r="G107" s="19"/>
      <c r="H107" s="19"/>
      <c r="I107" s="19"/>
      <c r="J107" s="19"/>
      <c r="K107" s="19"/>
      <c r="L107" s="19"/>
    </row>
    <row r="108" spans="2:12" ht="18.75">
      <c r="B108" s="4" t="s">
        <v>21</v>
      </c>
      <c r="C108" s="22" t="s">
        <v>22</v>
      </c>
      <c r="D108" s="68">
        <v>220.78699999999998</v>
      </c>
      <c r="E108" s="24">
        <v>251.32</v>
      </c>
      <c r="F108" s="24">
        <v>303.53610702226126</v>
      </c>
      <c r="G108" s="24">
        <v>325.1157389574621</v>
      </c>
      <c r="H108" s="24">
        <v>329.1490815943181</v>
      </c>
      <c r="I108" s="24">
        <v>351.7426890980514</v>
      </c>
      <c r="J108" s="24">
        <v>356.27550219700686</v>
      </c>
      <c r="K108" s="24">
        <v>384.1949729428502</v>
      </c>
      <c r="L108" s="24">
        <v>388.6945034066555</v>
      </c>
    </row>
    <row r="109" spans="2:12" ht="31.5">
      <c r="B109" s="3" t="s">
        <v>23</v>
      </c>
      <c r="C109" s="7" t="s">
        <v>77</v>
      </c>
      <c r="D109" s="35">
        <v>99.2</v>
      </c>
      <c r="E109" s="42">
        <v>105.00845541186052</v>
      </c>
      <c r="F109" s="42">
        <v>102.16209572218453</v>
      </c>
      <c r="G109" s="42">
        <v>102.41016485037409</v>
      </c>
      <c r="H109" s="42">
        <v>102.80508242518704</v>
      </c>
      <c r="I109" s="42">
        <v>103.20527721383851</v>
      </c>
      <c r="J109" s="42">
        <v>103.6577691680703</v>
      </c>
      <c r="K109" s="42">
        <v>104.40537383826782</v>
      </c>
      <c r="L109" s="42">
        <v>104.85266188206677</v>
      </c>
    </row>
    <row r="110" spans="2:12" ht="37.5">
      <c r="B110" s="3" t="s">
        <v>24</v>
      </c>
      <c r="C110" s="7" t="s">
        <v>279</v>
      </c>
      <c r="D110" s="35">
        <v>104.4</v>
      </c>
      <c r="E110" s="42">
        <v>108.4</v>
      </c>
      <c r="F110" s="42">
        <v>118.22069698102342</v>
      </c>
      <c r="G110" s="42">
        <v>104.58865289180198</v>
      </c>
      <c r="H110" s="42">
        <v>105.47941250321715</v>
      </c>
      <c r="I110" s="42">
        <v>104.82990215009511</v>
      </c>
      <c r="J110" s="42">
        <v>104.42186731637723</v>
      </c>
      <c r="K110" s="42">
        <v>104.61735740783949</v>
      </c>
      <c r="L110" s="42">
        <v>104.05021405631007</v>
      </c>
    </row>
    <row r="111" spans="2:12" ht="37.5">
      <c r="B111" s="3" t="s">
        <v>25</v>
      </c>
      <c r="C111" s="7"/>
      <c r="D111" s="7"/>
      <c r="E111" s="19"/>
      <c r="F111" s="19"/>
      <c r="G111" s="19"/>
      <c r="H111" s="19"/>
      <c r="I111" s="19"/>
      <c r="J111" s="19"/>
      <c r="K111" s="19"/>
      <c r="L111" s="19"/>
    </row>
    <row r="112" spans="2:12" ht="18.75">
      <c r="B112" s="3" t="s">
        <v>26</v>
      </c>
      <c r="C112" s="7" t="s">
        <v>27</v>
      </c>
      <c r="D112" s="11">
        <v>105.285</v>
      </c>
      <c r="E112" s="24">
        <v>117.845</v>
      </c>
      <c r="F112" s="12">
        <v>146.08259022226127</v>
      </c>
      <c r="G112" s="12">
        <v>154.52178145940132</v>
      </c>
      <c r="H112" s="12">
        <v>159.02842936775806</v>
      </c>
      <c r="I112" s="12">
        <v>166.00305886539775</v>
      </c>
      <c r="J112" s="12">
        <v>170.6844180982679</v>
      </c>
      <c r="K112" s="12">
        <v>180.58626158366408</v>
      </c>
      <c r="L112" s="12">
        <v>183.88583373166034</v>
      </c>
    </row>
    <row r="113" spans="2:12" ht="31.5">
      <c r="B113" s="3" t="s">
        <v>28</v>
      </c>
      <c r="C113" s="7" t="s">
        <v>77</v>
      </c>
      <c r="D113" s="35">
        <v>99.9</v>
      </c>
      <c r="E113" s="42">
        <v>104.8029256775661</v>
      </c>
      <c r="F113" s="42">
        <v>101.9</v>
      </c>
      <c r="G113" s="42">
        <v>102.2</v>
      </c>
      <c r="H113" s="42">
        <v>102.7</v>
      </c>
      <c r="I113" s="42">
        <v>103.1</v>
      </c>
      <c r="J113" s="42">
        <v>103.5</v>
      </c>
      <c r="K113" s="42">
        <v>104.3</v>
      </c>
      <c r="L113" s="42">
        <v>104.8</v>
      </c>
    </row>
    <row r="114" spans="2:12" ht="18.75">
      <c r="B114" s="3" t="s">
        <v>29</v>
      </c>
      <c r="C114" s="7" t="s">
        <v>279</v>
      </c>
      <c r="D114" s="35">
        <v>105.4</v>
      </c>
      <c r="E114" s="42">
        <v>106.8</v>
      </c>
      <c r="F114" s="42">
        <v>127.5</v>
      </c>
      <c r="G114" s="42">
        <v>103.5</v>
      </c>
      <c r="H114" s="42">
        <v>106</v>
      </c>
      <c r="I114" s="42">
        <v>104.2</v>
      </c>
      <c r="J114" s="42">
        <v>103.7</v>
      </c>
      <c r="K114" s="42">
        <v>104.3</v>
      </c>
      <c r="L114" s="42">
        <v>102.8</v>
      </c>
    </row>
    <row r="115" spans="2:12" ht="18.75">
      <c r="B115" s="3" t="s">
        <v>30</v>
      </c>
      <c r="C115" s="7" t="s">
        <v>27</v>
      </c>
      <c r="D115" s="48">
        <v>115.502</v>
      </c>
      <c r="E115" s="24">
        <v>133.475</v>
      </c>
      <c r="F115" s="24">
        <v>157.45351680000002</v>
      </c>
      <c r="G115" s="24">
        <v>170.5939574980608</v>
      </c>
      <c r="H115" s="24">
        <v>170.12065222656003</v>
      </c>
      <c r="I115" s="24">
        <v>185.73963023265364</v>
      </c>
      <c r="J115" s="24">
        <v>185.59108409873892</v>
      </c>
      <c r="K115" s="24">
        <v>203.6087113591861</v>
      </c>
      <c r="L115" s="24">
        <v>204.80866967499514</v>
      </c>
    </row>
    <row r="116" spans="2:12" ht="31.5">
      <c r="B116" s="3" t="s">
        <v>31</v>
      </c>
      <c r="C116" s="7" t="s">
        <v>77</v>
      </c>
      <c r="D116" s="35">
        <v>98.5</v>
      </c>
      <c r="E116" s="42">
        <v>105.24660246856527</v>
      </c>
      <c r="F116" s="42">
        <v>102.4</v>
      </c>
      <c r="G116" s="42">
        <v>102.6</v>
      </c>
      <c r="H116" s="42">
        <v>102.9</v>
      </c>
      <c r="I116" s="42">
        <v>103.3</v>
      </c>
      <c r="J116" s="42">
        <v>103.8</v>
      </c>
      <c r="K116" s="42">
        <v>104.5</v>
      </c>
      <c r="L116" s="42">
        <v>104.9</v>
      </c>
    </row>
    <row r="117" spans="2:12" ht="18.75">
      <c r="B117" s="3" t="s">
        <v>32</v>
      </c>
      <c r="C117" s="7" t="s">
        <v>279</v>
      </c>
      <c r="D117" s="35">
        <v>103.2</v>
      </c>
      <c r="E117" s="42">
        <v>109.8</v>
      </c>
      <c r="F117" s="42">
        <v>115.2</v>
      </c>
      <c r="G117" s="42">
        <v>105.6</v>
      </c>
      <c r="H117" s="42">
        <v>105</v>
      </c>
      <c r="I117" s="42">
        <v>105.4</v>
      </c>
      <c r="J117" s="42">
        <v>105.1</v>
      </c>
      <c r="K117" s="42">
        <v>104.9</v>
      </c>
      <c r="L117" s="42">
        <v>105.2</v>
      </c>
    </row>
    <row r="118" spans="2:12" ht="17.25">
      <c r="B118" s="1" t="s">
        <v>330</v>
      </c>
      <c r="C118" s="7"/>
      <c r="D118" s="7"/>
      <c r="E118" s="6"/>
      <c r="F118" s="6"/>
      <c r="G118" s="6"/>
      <c r="H118" s="6"/>
      <c r="I118" s="6"/>
      <c r="J118" s="6"/>
      <c r="K118" s="6"/>
      <c r="L118" s="6"/>
    </row>
    <row r="119" spans="2:12" ht="54">
      <c r="B119" s="3" t="s">
        <v>33</v>
      </c>
      <c r="C119" s="7" t="s">
        <v>34</v>
      </c>
      <c r="D119" s="7">
        <v>283.18</v>
      </c>
      <c r="E119" s="6">
        <f>283.18+1.793+0.88396</f>
        <v>285.85696</v>
      </c>
      <c r="F119" s="6">
        <f>E119+0.6853</f>
        <v>286.54226</v>
      </c>
      <c r="G119" s="6">
        <f>F119</f>
        <v>286.54226</v>
      </c>
      <c r="H119" s="6">
        <f>G119</f>
        <v>286.54226</v>
      </c>
      <c r="I119" s="6">
        <f>G119+1.664</f>
        <v>288.20626</v>
      </c>
      <c r="J119" s="6">
        <f>I119</f>
        <v>288.20626</v>
      </c>
      <c r="K119" s="6">
        <f>I119</f>
        <v>288.20626</v>
      </c>
      <c r="L119" s="6">
        <f>K119</f>
        <v>288.20626</v>
      </c>
    </row>
    <row r="120" spans="2:12" ht="18">
      <c r="B120" s="3" t="s">
        <v>35</v>
      </c>
      <c r="C120" s="7" t="s">
        <v>34</v>
      </c>
      <c r="D120" s="7" t="s">
        <v>335</v>
      </c>
      <c r="E120" s="7" t="s">
        <v>335</v>
      </c>
      <c r="F120" s="7" t="s">
        <v>335</v>
      </c>
      <c r="G120" s="7" t="s">
        <v>335</v>
      </c>
      <c r="H120" s="7" t="s">
        <v>335</v>
      </c>
      <c r="I120" s="7" t="s">
        <v>335</v>
      </c>
      <c r="J120" s="7" t="s">
        <v>335</v>
      </c>
      <c r="K120" s="7" t="s">
        <v>335</v>
      </c>
      <c r="L120" s="7" t="s">
        <v>335</v>
      </c>
    </row>
    <row r="121" spans="2:12" ht="30.75">
      <c r="B121" s="4" t="s">
        <v>36</v>
      </c>
      <c r="C121" s="22" t="s">
        <v>37</v>
      </c>
      <c r="D121" s="22" t="s">
        <v>335</v>
      </c>
      <c r="E121" s="22" t="s">
        <v>335</v>
      </c>
      <c r="F121" s="22" t="s">
        <v>335</v>
      </c>
      <c r="G121" s="22" t="s">
        <v>335</v>
      </c>
      <c r="H121" s="22" t="s">
        <v>335</v>
      </c>
      <c r="I121" s="22" t="s">
        <v>335</v>
      </c>
      <c r="J121" s="22" t="s">
        <v>335</v>
      </c>
      <c r="K121" s="22" t="s">
        <v>335</v>
      </c>
      <c r="L121" s="22" t="s">
        <v>335</v>
      </c>
    </row>
    <row r="122" spans="2:12" ht="36">
      <c r="B122" s="3" t="s">
        <v>38</v>
      </c>
      <c r="C122" s="22" t="s">
        <v>37</v>
      </c>
      <c r="D122" s="82">
        <f>D119/4.1645</f>
        <v>67.99855925081042</v>
      </c>
      <c r="E122" s="82">
        <f aca="true" t="shared" si="3" ref="E122:L122">E119/4.1645</f>
        <v>68.6413639092328</v>
      </c>
      <c r="F122" s="82">
        <f t="shared" si="3"/>
        <v>68.80592147916916</v>
      </c>
      <c r="G122" s="82">
        <f t="shared" si="3"/>
        <v>68.80592147916916</v>
      </c>
      <c r="H122" s="82">
        <f t="shared" si="3"/>
        <v>68.80592147916916</v>
      </c>
      <c r="I122" s="82">
        <f t="shared" si="3"/>
        <v>69.20548925441229</v>
      </c>
      <c r="J122" s="82">
        <f t="shared" si="3"/>
        <v>69.20548925441229</v>
      </c>
      <c r="K122" s="82">
        <f t="shared" si="3"/>
        <v>69.20548925441229</v>
      </c>
      <c r="L122" s="82">
        <f t="shared" si="3"/>
        <v>69.20548925441229</v>
      </c>
    </row>
    <row r="123" spans="2:12" ht="36">
      <c r="B123" s="3" t="s">
        <v>39</v>
      </c>
      <c r="C123" s="7" t="s">
        <v>40</v>
      </c>
      <c r="D123" s="25">
        <f>D119/545.32*100</f>
        <v>51.929142521822044</v>
      </c>
      <c r="E123" s="25">
        <f>E119/548*100</f>
        <v>52.16367883211679</v>
      </c>
      <c r="F123" s="25">
        <f>F119/548.6853*100</f>
        <v>52.2234257050444</v>
      </c>
      <c r="G123" s="25">
        <f>G119/548.6853*100</f>
        <v>52.2234257050444</v>
      </c>
      <c r="H123" s="25">
        <f>H119/548.6853*100</f>
        <v>52.2234257050444</v>
      </c>
      <c r="I123" s="25">
        <f>I119/550.3553*100</f>
        <v>52.367308900268604</v>
      </c>
      <c r="J123" s="25">
        <f>J119/550.3553*100</f>
        <v>52.367308900268604</v>
      </c>
      <c r="K123" s="25">
        <f>K119/550.3553*100</f>
        <v>52.367308900268604</v>
      </c>
      <c r="L123" s="25">
        <f>L119/550.3553*100</f>
        <v>52.367308900268604</v>
      </c>
    </row>
    <row r="124" spans="2:12" ht="34.5">
      <c r="B124" s="1" t="s">
        <v>331</v>
      </c>
      <c r="C124" s="7"/>
      <c r="D124" s="7"/>
      <c r="E124" s="6"/>
      <c r="F124" s="6"/>
      <c r="G124" s="6"/>
      <c r="H124" s="6"/>
      <c r="I124" s="6"/>
      <c r="J124" s="6"/>
      <c r="K124" s="6"/>
      <c r="L124" s="6"/>
    </row>
    <row r="125" spans="2:12" ht="18">
      <c r="B125" s="3" t="s">
        <v>43</v>
      </c>
      <c r="C125" s="7" t="s">
        <v>42</v>
      </c>
      <c r="D125" s="69">
        <v>2.2202</v>
      </c>
      <c r="E125" s="70">
        <v>2.0296</v>
      </c>
      <c r="F125" s="70">
        <v>2.0814</v>
      </c>
      <c r="G125" s="70">
        <v>2.105</v>
      </c>
      <c r="H125" s="70">
        <v>2.105</v>
      </c>
      <c r="I125" s="70">
        <v>2.1122</v>
      </c>
      <c r="J125" s="70">
        <v>2.1122</v>
      </c>
      <c r="K125" s="70">
        <v>2.1404</v>
      </c>
      <c r="L125" s="70">
        <v>2.1404</v>
      </c>
    </row>
    <row r="126" spans="2:12" ht="18">
      <c r="B126" s="3" t="s">
        <v>44</v>
      </c>
      <c r="C126" s="7" t="s">
        <v>42</v>
      </c>
      <c r="D126" s="69">
        <v>0.2621</v>
      </c>
      <c r="E126" s="70">
        <v>0.2518</v>
      </c>
      <c r="F126" s="70">
        <v>0.2532</v>
      </c>
      <c r="G126" s="70">
        <v>0.2555</v>
      </c>
      <c r="H126" s="70">
        <v>0.2555</v>
      </c>
      <c r="I126" s="70">
        <v>0.2578</v>
      </c>
      <c r="J126" s="70">
        <v>0.2578</v>
      </c>
      <c r="K126" s="70">
        <v>0.2586</v>
      </c>
      <c r="L126" s="70">
        <v>0.2586</v>
      </c>
    </row>
    <row r="127" spans="2:12" ht="18">
      <c r="B127" s="3" t="s">
        <v>45</v>
      </c>
      <c r="C127" s="7" t="s">
        <v>42</v>
      </c>
      <c r="D127" s="64">
        <v>0.355</v>
      </c>
      <c r="E127" s="65">
        <v>0.332</v>
      </c>
      <c r="F127" s="65">
        <v>0.345</v>
      </c>
      <c r="G127" s="65">
        <v>0.352</v>
      </c>
      <c r="H127" s="65">
        <v>0.352</v>
      </c>
      <c r="I127" s="65">
        <v>0.364</v>
      </c>
      <c r="J127" s="65">
        <v>0.364</v>
      </c>
      <c r="K127" s="65">
        <v>0.37</v>
      </c>
      <c r="L127" s="65">
        <v>0.37</v>
      </c>
    </row>
    <row r="128" spans="2:12" ht="18">
      <c r="B128" s="3" t="s">
        <v>46</v>
      </c>
      <c r="C128" s="7" t="s">
        <v>42</v>
      </c>
      <c r="D128" s="60">
        <v>1.041</v>
      </c>
      <c r="E128" s="62">
        <v>1.099</v>
      </c>
      <c r="F128" s="62">
        <v>1.106</v>
      </c>
      <c r="G128" s="62">
        <v>1.112</v>
      </c>
      <c r="H128" s="62">
        <v>1.112</v>
      </c>
      <c r="I128" s="62">
        <v>1.122</v>
      </c>
      <c r="J128" s="62">
        <v>1.122</v>
      </c>
      <c r="K128" s="62">
        <v>1.131</v>
      </c>
      <c r="L128" s="62">
        <v>1.131</v>
      </c>
    </row>
    <row r="129" spans="2:12" ht="18">
      <c r="B129" s="3" t="s">
        <v>47</v>
      </c>
      <c r="C129" s="7" t="s">
        <v>48</v>
      </c>
      <c r="D129" s="60">
        <v>2.6013</v>
      </c>
      <c r="E129" s="62">
        <v>1.545</v>
      </c>
      <c r="F129" s="62">
        <v>1.5</v>
      </c>
      <c r="G129" s="62">
        <v>2.3</v>
      </c>
      <c r="H129" s="62">
        <v>2.3</v>
      </c>
      <c r="I129" s="62">
        <v>2.4</v>
      </c>
      <c r="J129" s="62">
        <v>2.4</v>
      </c>
      <c r="K129" s="62">
        <v>2.3</v>
      </c>
      <c r="L129" s="62">
        <v>2.3</v>
      </c>
    </row>
    <row r="130" spans="2:12" ht="18">
      <c r="B130" s="3" t="s">
        <v>49</v>
      </c>
      <c r="C130" s="7" t="s">
        <v>50</v>
      </c>
      <c r="D130" s="17">
        <v>0.00471</v>
      </c>
      <c r="E130" s="71">
        <v>2E-05</v>
      </c>
      <c r="F130" s="71">
        <v>1.2E-05</v>
      </c>
      <c r="G130" s="71">
        <v>2E-05</v>
      </c>
      <c r="H130" s="71">
        <v>2E-05</v>
      </c>
      <c r="I130" s="71">
        <v>4E-05</v>
      </c>
      <c r="J130" s="71">
        <v>4E-05</v>
      </c>
      <c r="K130" s="71">
        <v>6E-05</v>
      </c>
      <c r="L130" s="71">
        <v>6E-05</v>
      </c>
    </row>
    <row r="131" spans="2:12" ht="18">
      <c r="B131" s="3" t="s">
        <v>51</v>
      </c>
      <c r="C131" s="7" t="s">
        <v>42</v>
      </c>
      <c r="D131" s="58">
        <v>938.8</v>
      </c>
      <c r="E131" s="59">
        <v>1056.6</v>
      </c>
      <c r="F131" s="59">
        <v>1312.5</v>
      </c>
      <c r="G131" s="59">
        <v>1887.7</v>
      </c>
      <c r="H131" s="59">
        <v>1887.7</v>
      </c>
      <c r="I131" s="59">
        <v>2157.5</v>
      </c>
      <c r="J131" s="59">
        <v>2157.5</v>
      </c>
      <c r="K131" s="59">
        <v>2341.6</v>
      </c>
      <c r="L131" s="59">
        <v>2341.6</v>
      </c>
    </row>
    <row r="132" spans="2:12" ht="18">
      <c r="B132" s="3" t="s">
        <v>52</v>
      </c>
      <c r="C132" s="7" t="s">
        <v>53</v>
      </c>
      <c r="D132" s="60">
        <v>0.1111</v>
      </c>
      <c r="E132" s="62">
        <v>0.1178</v>
      </c>
      <c r="F132" s="62">
        <v>0.15742</v>
      </c>
      <c r="G132" s="62">
        <v>0.22368000000000002</v>
      </c>
      <c r="H132" s="62">
        <v>0.22368000000000002</v>
      </c>
      <c r="I132" s="62">
        <v>0.25835</v>
      </c>
      <c r="J132" s="62">
        <v>0.25835</v>
      </c>
      <c r="K132" s="62">
        <v>0.28863</v>
      </c>
      <c r="L132" s="62">
        <v>0.28863</v>
      </c>
    </row>
    <row r="133" spans="2:12" ht="18">
      <c r="B133" s="3" t="s">
        <v>54</v>
      </c>
      <c r="C133" s="7" t="s">
        <v>42</v>
      </c>
      <c r="D133" s="69">
        <v>0.09893</v>
      </c>
      <c r="E133" s="70">
        <v>0.08459</v>
      </c>
      <c r="F133" s="70">
        <v>0.0852</v>
      </c>
      <c r="G133" s="70">
        <v>0.0864</v>
      </c>
      <c r="H133" s="70">
        <v>0.0864</v>
      </c>
      <c r="I133" s="70">
        <v>0.0871</v>
      </c>
      <c r="J133" s="70">
        <v>0.0871</v>
      </c>
      <c r="K133" s="70">
        <v>0.0874</v>
      </c>
      <c r="L133" s="70">
        <v>0.0874</v>
      </c>
    </row>
    <row r="134" spans="2:12" ht="18">
      <c r="B134" s="3" t="s">
        <v>55</v>
      </c>
      <c r="C134" s="7" t="s">
        <v>42</v>
      </c>
      <c r="D134" s="72">
        <v>0.01165</v>
      </c>
      <c r="E134" s="73">
        <v>0.01119</v>
      </c>
      <c r="F134" s="73">
        <v>0.0103</v>
      </c>
      <c r="G134" s="73">
        <v>0.0109</v>
      </c>
      <c r="H134" s="73">
        <v>0.0109</v>
      </c>
      <c r="I134" s="73">
        <v>0.0111</v>
      </c>
      <c r="J134" s="73">
        <v>0.0111</v>
      </c>
      <c r="K134" s="73">
        <v>0.0115</v>
      </c>
      <c r="L134" s="73">
        <v>0.0115</v>
      </c>
    </row>
    <row r="135" spans="2:12" ht="18">
      <c r="B135" s="3" t="s">
        <v>56</v>
      </c>
      <c r="C135" s="7" t="s">
        <v>42</v>
      </c>
      <c r="D135" s="72">
        <v>0.00076</v>
      </c>
      <c r="E135" s="73">
        <v>0.00176</v>
      </c>
      <c r="F135" s="73">
        <v>0.0014</v>
      </c>
      <c r="G135" s="73">
        <v>0.0016</v>
      </c>
      <c r="H135" s="73">
        <v>0.0016</v>
      </c>
      <c r="I135" s="73">
        <v>0.0017</v>
      </c>
      <c r="J135" s="73">
        <v>0.0017</v>
      </c>
      <c r="K135" s="73">
        <v>0.0018</v>
      </c>
      <c r="L135" s="73">
        <v>0.0018</v>
      </c>
    </row>
    <row r="136" spans="2:12" ht="18">
      <c r="B136" s="3" t="s">
        <v>57</v>
      </c>
      <c r="C136" s="7" t="s">
        <v>42</v>
      </c>
      <c r="D136" s="72" t="s">
        <v>335</v>
      </c>
      <c r="E136" s="72" t="s">
        <v>335</v>
      </c>
      <c r="F136" s="72" t="s">
        <v>335</v>
      </c>
      <c r="G136" s="72" t="s">
        <v>335</v>
      </c>
      <c r="H136" s="72" t="s">
        <v>335</v>
      </c>
      <c r="I136" s="72" t="s">
        <v>335</v>
      </c>
      <c r="J136" s="72" t="s">
        <v>335</v>
      </c>
      <c r="K136" s="72" t="s">
        <v>335</v>
      </c>
      <c r="L136" s="72" t="s">
        <v>335</v>
      </c>
    </row>
    <row r="137" spans="2:12" ht="18">
      <c r="B137" s="77" t="s">
        <v>58</v>
      </c>
      <c r="C137" s="40" t="s">
        <v>59</v>
      </c>
      <c r="D137" s="74" t="s">
        <v>335</v>
      </c>
      <c r="E137" s="74" t="s">
        <v>335</v>
      </c>
      <c r="F137" s="74" t="s">
        <v>335</v>
      </c>
      <c r="G137" s="74" t="s">
        <v>335</v>
      </c>
      <c r="H137" s="74" t="s">
        <v>335</v>
      </c>
      <c r="I137" s="74" t="s">
        <v>335</v>
      </c>
      <c r="J137" s="74" t="s">
        <v>335</v>
      </c>
      <c r="K137" s="74" t="s">
        <v>335</v>
      </c>
      <c r="L137" s="74" t="s">
        <v>335</v>
      </c>
    </row>
    <row r="138" spans="2:12" ht="18">
      <c r="B138" s="3" t="s">
        <v>364</v>
      </c>
      <c r="C138" s="7" t="s">
        <v>59</v>
      </c>
      <c r="D138" s="17" t="s">
        <v>335</v>
      </c>
      <c r="E138" s="17" t="s">
        <v>335</v>
      </c>
      <c r="F138" s="17" t="s">
        <v>335</v>
      </c>
      <c r="G138" s="17" t="s">
        <v>335</v>
      </c>
      <c r="H138" s="17" t="s">
        <v>335</v>
      </c>
      <c r="I138" s="17" t="s">
        <v>335</v>
      </c>
      <c r="J138" s="17" t="s">
        <v>335</v>
      </c>
      <c r="K138" s="17" t="s">
        <v>335</v>
      </c>
      <c r="L138" s="17" t="s">
        <v>335</v>
      </c>
    </row>
    <row r="139" spans="2:12" ht="18">
      <c r="B139" s="3" t="s">
        <v>365</v>
      </c>
      <c r="C139" s="7" t="s">
        <v>59</v>
      </c>
      <c r="D139" s="17" t="s">
        <v>335</v>
      </c>
      <c r="E139" s="17" t="s">
        <v>335</v>
      </c>
      <c r="F139" s="17" t="s">
        <v>335</v>
      </c>
      <c r="G139" s="17" t="s">
        <v>335</v>
      </c>
      <c r="H139" s="17" t="s">
        <v>335</v>
      </c>
      <c r="I139" s="17" t="s">
        <v>335</v>
      </c>
      <c r="J139" s="17" t="s">
        <v>335</v>
      </c>
      <c r="K139" s="17" t="s">
        <v>335</v>
      </c>
      <c r="L139" s="17" t="s">
        <v>335</v>
      </c>
    </row>
    <row r="140" spans="2:12" ht="18">
      <c r="B140" s="3" t="s">
        <v>60</v>
      </c>
      <c r="C140" s="7" t="s">
        <v>61</v>
      </c>
      <c r="D140" s="7" t="s">
        <v>335</v>
      </c>
      <c r="E140" s="7" t="s">
        <v>335</v>
      </c>
      <c r="F140" s="7" t="s">
        <v>335</v>
      </c>
      <c r="G140" s="7" t="s">
        <v>335</v>
      </c>
      <c r="H140" s="7" t="s">
        <v>335</v>
      </c>
      <c r="I140" s="7" t="s">
        <v>335</v>
      </c>
      <c r="J140" s="7" t="s">
        <v>335</v>
      </c>
      <c r="K140" s="7" t="s">
        <v>335</v>
      </c>
      <c r="L140" s="7" t="s">
        <v>335</v>
      </c>
    </row>
    <row r="141" spans="2:12" ht="18">
      <c r="B141" s="3" t="s">
        <v>62</v>
      </c>
      <c r="C141" s="7" t="s">
        <v>48</v>
      </c>
      <c r="D141" s="7" t="s">
        <v>335</v>
      </c>
      <c r="E141" s="7" t="s">
        <v>335</v>
      </c>
      <c r="F141" s="7" t="s">
        <v>335</v>
      </c>
      <c r="G141" s="7" t="s">
        <v>335</v>
      </c>
      <c r="H141" s="7" t="s">
        <v>335</v>
      </c>
      <c r="I141" s="7" t="s">
        <v>335</v>
      </c>
      <c r="J141" s="7" t="s">
        <v>335</v>
      </c>
      <c r="K141" s="7" t="s">
        <v>335</v>
      </c>
      <c r="L141" s="7" t="s">
        <v>335</v>
      </c>
    </row>
    <row r="142" spans="2:12" ht="18">
      <c r="B142" s="3" t="s">
        <v>63</v>
      </c>
      <c r="C142" s="7" t="s">
        <v>64</v>
      </c>
      <c r="D142" s="17">
        <v>0.000115</v>
      </c>
      <c r="E142" s="75">
        <v>6.5E-05</v>
      </c>
      <c r="F142" s="75">
        <v>9.6E-06</v>
      </c>
      <c r="G142" s="75">
        <v>2.2E-05</v>
      </c>
      <c r="H142" s="75">
        <v>2.2E-05</v>
      </c>
      <c r="I142" s="75">
        <v>2.8E-05</v>
      </c>
      <c r="J142" s="75">
        <v>2.8E-05</v>
      </c>
      <c r="K142" s="75">
        <v>3.1E-05</v>
      </c>
      <c r="L142" s="75">
        <v>3.1E-05</v>
      </c>
    </row>
    <row r="143" spans="2:12" ht="54">
      <c r="B143" s="3" t="s">
        <v>65</v>
      </c>
      <c r="C143" s="7" t="s">
        <v>50</v>
      </c>
      <c r="D143" s="17">
        <v>0.00036</v>
      </c>
      <c r="E143" s="71">
        <v>2E-05</v>
      </c>
      <c r="F143" s="71">
        <v>1.2E-05</v>
      </c>
      <c r="G143" s="71">
        <v>2E-05</v>
      </c>
      <c r="H143" s="71">
        <v>2E-05</v>
      </c>
      <c r="I143" s="71">
        <v>4E-05</v>
      </c>
      <c r="J143" s="71">
        <v>4E-05</v>
      </c>
      <c r="K143" s="71">
        <v>6E-05</v>
      </c>
      <c r="L143" s="71">
        <v>6E-05</v>
      </c>
    </row>
    <row r="144" spans="2:12" ht="18">
      <c r="B144" s="3" t="s">
        <v>66</v>
      </c>
      <c r="C144" s="7" t="s">
        <v>42</v>
      </c>
      <c r="D144" s="17" t="s">
        <v>335</v>
      </c>
      <c r="E144" s="17" t="s">
        <v>335</v>
      </c>
      <c r="F144" s="17" t="s">
        <v>335</v>
      </c>
      <c r="G144" s="17" t="s">
        <v>335</v>
      </c>
      <c r="H144" s="17" t="s">
        <v>335</v>
      </c>
      <c r="I144" s="17" t="s">
        <v>335</v>
      </c>
      <c r="J144" s="17" t="s">
        <v>335</v>
      </c>
      <c r="K144" s="17" t="s">
        <v>335</v>
      </c>
      <c r="L144" s="17" t="s">
        <v>335</v>
      </c>
    </row>
    <row r="145" spans="2:12" ht="18">
      <c r="B145" s="4" t="s">
        <v>358</v>
      </c>
      <c r="C145" s="17" t="s">
        <v>67</v>
      </c>
      <c r="D145" s="76">
        <v>0.6</v>
      </c>
      <c r="E145" s="61">
        <v>0.18</v>
      </c>
      <c r="F145" s="61">
        <v>0.18</v>
      </c>
      <c r="G145" s="61">
        <v>0.2</v>
      </c>
      <c r="H145" s="61">
        <v>0.2</v>
      </c>
      <c r="I145" s="61">
        <v>0.2</v>
      </c>
      <c r="J145" s="61">
        <v>0.2</v>
      </c>
      <c r="K145" s="61">
        <v>0.2</v>
      </c>
      <c r="L145" s="61">
        <v>0.2</v>
      </c>
    </row>
    <row r="146" spans="2:12" ht="36">
      <c r="B146" s="4" t="s">
        <v>359</v>
      </c>
      <c r="C146" s="17" t="s">
        <v>360</v>
      </c>
      <c r="D146" s="17">
        <v>1.7</v>
      </c>
      <c r="E146" s="17">
        <v>1.2</v>
      </c>
      <c r="F146" s="58">
        <v>1.2</v>
      </c>
      <c r="G146" s="58">
        <v>1.4</v>
      </c>
      <c r="H146" s="58">
        <v>1.4</v>
      </c>
      <c r="I146" s="58">
        <v>1.4</v>
      </c>
      <c r="J146" s="58">
        <v>1.4</v>
      </c>
      <c r="K146" s="58">
        <v>1.4</v>
      </c>
      <c r="L146" s="58">
        <v>1.4</v>
      </c>
    </row>
    <row r="147" spans="2:12" ht="18">
      <c r="B147" s="3" t="s">
        <v>69</v>
      </c>
      <c r="C147" s="7" t="s">
        <v>70</v>
      </c>
      <c r="D147" s="69">
        <v>0.3251</v>
      </c>
      <c r="E147" s="70">
        <v>0.309</v>
      </c>
      <c r="F147" s="70">
        <v>0.314871</v>
      </c>
      <c r="G147" s="70">
        <v>0.3181</v>
      </c>
      <c r="H147" s="70">
        <v>0.3181</v>
      </c>
      <c r="I147" s="70">
        <v>0.3181</v>
      </c>
      <c r="J147" s="70">
        <v>0.3181</v>
      </c>
      <c r="K147" s="70">
        <v>0.3181</v>
      </c>
      <c r="L147" s="70">
        <v>0.3181</v>
      </c>
    </row>
    <row r="148" spans="2:12" ht="18">
      <c r="B148" s="3" t="s">
        <v>71</v>
      </c>
      <c r="C148" s="7"/>
      <c r="D148" s="78"/>
      <c r="E148" s="78"/>
      <c r="F148" s="20"/>
      <c r="G148" s="20"/>
      <c r="H148" s="20"/>
      <c r="I148" s="20"/>
      <c r="J148" s="20"/>
      <c r="K148" s="20"/>
      <c r="L148" s="20"/>
    </row>
    <row r="149" spans="2:12" ht="18">
      <c r="B149" s="3" t="s">
        <v>72</v>
      </c>
      <c r="C149" s="7" t="s">
        <v>70</v>
      </c>
      <c r="D149" s="69">
        <v>0.3251</v>
      </c>
      <c r="E149" s="70">
        <v>0.309</v>
      </c>
      <c r="F149" s="70">
        <v>0.314871</v>
      </c>
      <c r="G149" s="70">
        <v>0.3181</v>
      </c>
      <c r="H149" s="70">
        <v>0.3181</v>
      </c>
      <c r="I149" s="70">
        <v>0.3181</v>
      </c>
      <c r="J149" s="70">
        <v>0.3181</v>
      </c>
      <c r="K149" s="70">
        <v>0.3181</v>
      </c>
      <c r="L149" s="70">
        <v>0.3181</v>
      </c>
    </row>
    <row r="150" spans="2:12" ht="17.25">
      <c r="B150" s="1" t="s">
        <v>332</v>
      </c>
      <c r="C150" s="18"/>
      <c r="D150" s="18"/>
      <c r="E150" s="21"/>
      <c r="F150" s="19"/>
      <c r="G150" s="19"/>
      <c r="H150" s="19"/>
      <c r="I150" s="19"/>
      <c r="J150" s="19"/>
      <c r="K150" s="19"/>
      <c r="L150" s="19"/>
    </row>
    <row r="151" spans="2:12" ht="36">
      <c r="B151" s="3" t="s">
        <v>73</v>
      </c>
      <c r="C151" s="22" t="s">
        <v>75</v>
      </c>
      <c r="D151" s="22">
        <v>4318.3</v>
      </c>
      <c r="E151" s="6">
        <v>3209.2</v>
      </c>
      <c r="F151" s="6">
        <v>3630.5</v>
      </c>
      <c r="G151" s="6">
        <v>3855.6</v>
      </c>
      <c r="H151" s="6">
        <v>3866.5</v>
      </c>
      <c r="I151" s="6">
        <v>4106.2</v>
      </c>
      <c r="J151" s="6">
        <v>4125.5</v>
      </c>
      <c r="K151" s="6">
        <v>4377.2</v>
      </c>
      <c r="L151" s="6">
        <v>4410.16</v>
      </c>
    </row>
    <row r="152" spans="2:12" ht="36">
      <c r="B152" s="3" t="s">
        <v>76</v>
      </c>
      <c r="C152" s="7" t="s">
        <v>77</v>
      </c>
      <c r="D152" s="7">
        <v>85.18</v>
      </c>
      <c r="E152" s="6">
        <f>E151/D151*100/E153*100</f>
        <v>71.18417803657125</v>
      </c>
      <c r="F152" s="6">
        <f>F151/E151*100/F153*100</f>
        <v>105.82589554562904</v>
      </c>
      <c r="G152" s="6">
        <f>G151/F151*100/G153*100</f>
        <v>100.00023342724889</v>
      </c>
      <c r="H152" s="6">
        <f>H151/F151*100/H153*100</f>
        <v>100.28293976202349</v>
      </c>
      <c r="I152" s="6">
        <f>I151/G151*100/I153*100</f>
        <v>99.99965905332748</v>
      </c>
      <c r="J152" s="6">
        <f>J151/H151*100/J153*100</f>
        <v>100.18644562751308</v>
      </c>
      <c r="K152" s="6">
        <f>K151/I151*100/K153*100</f>
        <v>99.99978982041799</v>
      </c>
      <c r="L152" s="6">
        <f>L151/J151*100/L153*100</f>
        <v>100.28143726054697</v>
      </c>
    </row>
    <row r="153" spans="2:12" ht="36">
      <c r="B153" s="3" t="s">
        <v>78</v>
      </c>
      <c r="C153" s="7" t="s">
        <v>279</v>
      </c>
      <c r="D153" s="7">
        <v>105.6</v>
      </c>
      <c r="E153" s="6">
        <v>104.4</v>
      </c>
      <c r="F153" s="6">
        <v>106.9</v>
      </c>
      <c r="G153" s="6">
        <v>106.2</v>
      </c>
      <c r="H153" s="6">
        <v>106.2</v>
      </c>
      <c r="I153" s="6">
        <v>106.5</v>
      </c>
      <c r="J153" s="6">
        <v>106.5</v>
      </c>
      <c r="K153" s="6">
        <v>106.6</v>
      </c>
      <c r="L153" s="6">
        <v>106.6</v>
      </c>
    </row>
    <row r="154" spans="2:12" ht="18">
      <c r="B154" s="4" t="s">
        <v>79</v>
      </c>
      <c r="C154" s="22" t="s">
        <v>80</v>
      </c>
      <c r="D154" s="22">
        <v>15.8</v>
      </c>
      <c r="E154" s="6">
        <v>16.62</v>
      </c>
      <c r="F154" s="6">
        <v>20.4</v>
      </c>
      <c r="G154" s="6">
        <v>12.05</v>
      </c>
      <c r="H154" s="6">
        <v>12.05</v>
      </c>
      <c r="I154" s="6">
        <v>15.184</v>
      </c>
      <c r="J154" s="6">
        <v>15.184</v>
      </c>
      <c r="K154" s="6">
        <v>16.713</v>
      </c>
      <c r="L154" s="6">
        <v>16.713</v>
      </c>
    </row>
    <row r="155" spans="2:12" ht="18">
      <c r="B155" s="4" t="s">
        <v>81</v>
      </c>
      <c r="C155" s="22" t="s">
        <v>82</v>
      </c>
      <c r="D155" s="22">
        <v>33.23</v>
      </c>
      <c r="E155" s="6">
        <v>34.11</v>
      </c>
      <c r="F155" s="6">
        <v>11.8</v>
      </c>
      <c r="G155" s="6">
        <v>6.5</v>
      </c>
      <c r="H155" s="6">
        <v>6.5</v>
      </c>
      <c r="I155" s="6">
        <v>2.3</v>
      </c>
      <c r="J155" s="6">
        <v>2.3</v>
      </c>
      <c r="K155" s="6">
        <v>2.1</v>
      </c>
      <c r="L155" s="6">
        <v>2.1</v>
      </c>
    </row>
    <row r="156" spans="2:12" ht="15">
      <c r="B156" s="86" t="s">
        <v>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8"/>
    </row>
    <row r="157" spans="2:12" ht="39.75" customHeight="1">
      <c r="B157" s="3" t="s">
        <v>84</v>
      </c>
      <c r="C157" s="7" t="s">
        <v>85</v>
      </c>
      <c r="D157" s="26">
        <v>106.5</v>
      </c>
      <c r="E157" s="45">
        <v>111.4</v>
      </c>
      <c r="F157" s="45">
        <v>111.9</v>
      </c>
      <c r="G157" s="45">
        <v>107</v>
      </c>
      <c r="H157" s="45">
        <v>106.5</v>
      </c>
      <c r="I157" s="45">
        <v>106.3</v>
      </c>
      <c r="J157" s="45">
        <v>105.9</v>
      </c>
      <c r="K157" s="45">
        <v>105.1</v>
      </c>
      <c r="L157" s="45">
        <v>104.8</v>
      </c>
    </row>
    <row r="158" spans="2:12" ht="18">
      <c r="B158" s="4" t="s">
        <v>86</v>
      </c>
      <c r="C158" s="23" t="s">
        <v>75</v>
      </c>
      <c r="D158" s="46">
        <v>2894.99</v>
      </c>
      <c r="E158" s="24">
        <v>3185.971</v>
      </c>
      <c r="F158" s="24">
        <v>3808.971</v>
      </c>
      <c r="G158" s="24">
        <f>F158*G159*G160/10000</f>
        <v>4231.7104082292</v>
      </c>
      <c r="H158" s="24">
        <f>F158*H159*H160/10000</f>
        <v>4232.158343218801</v>
      </c>
      <c r="I158" s="24">
        <f>G158*I159*I160/10000</f>
        <v>4728.217836768814</v>
      </c>
      <c r="J158" s="24">
        <f>H158*J159*J160/10000</f>
        <v>4723.006607160323</v>
      </c>
      <c r="K158" s="24">
        <f>I158*K159*K160/10000</f>
        <v>5278.889727128094</v>
      </c>
      <c r="L158" s="24">
        <f>J158*L159*L160/10000</f>
        <v>5285.697585226172</v>
      </c>
    </row>
    <row r="159" spans="2:12" ht="30.75">
      <c r="B159" s="4" t="s">
        <v>86</v>
      </c>
      <c r="C159" s="23" t="s">
        <v>77</v>
      </c>
      <c r="D159" s="47">
        <v>104.8414773641326</v>
      </c>
      <c r="E159" s="45">
        <f>E158/D158/E160*10000</f>
        <v>102.46852130975157</v>
      </c>
      <c r="F159" s="45">
        <f>F158/E158/F160*10000</f>
        <v>102.71003269239121</v>
      </c>
      <c r="G159" s="45">
        <v>104.22</v>
      </c>
      <c r="H159" s="45">
        <v>104.92</v>
      </c>
      <c r="I159" s="45">
        <v>105.21</v>
      </c>
      <c r="J159" s="45">
        <v>105.58</v>
      </c>
      <c r="K159" s="45">
        <v>106.33</v>
      </c>
      <c r="L159" s="45">
        <v>106.89</v>
      </c>
    </row>
    <row r="160" spans="2:12" ht="18">
      <c r="B160" s="3" t="s">
        <v>87</v>
      </c>
      <c r="C160" s="7" t="s">
        <v>279</v>
      </c>
      <c r="D160" s="26">
        <v>106.5</v>
      </c>
      <c r="E160" s="45">
        <v>107.4</v>
      </c>
      <c r="F160" s="45">
        <v>116.4</v>
      </c>
      <c r="G160" s="45">
        <v>106.6</v>
      </c>
      <c r="H160" s="45">
        <v>105.9</v>
      </c>
      <c r="I160" s="45">
        <v>106.2</v>
      </c>
      <c r="J160" s="45">
        <v>105.7</v>
      </c>
      <c r="K160" s="45">
        <v>105</v>
      </c>
      <c r="L160" s="45">
        <v>104.7</v>
      </c>
    </row>
    <row r="161" spans="2:12" ht="18">
      <c r="B161" s="3" t="s">
        <v>88</v>
      </c>
      <c r="C161" s="7" t="s">
        <v>291</v>
      </c>
      <c r="D161" s="48">
        <v>534.473</v>
      </c>
      <c r="E161" s="24">
        <v>681.77</v>
      </c>
      <c r="F161" s="24">
        <f>E161*F162*F163/10000</f>
        <v>845.9964620250001</v>
      </c>
      <c r="G161" s="24">
        <f>F161*G162*G163/10000</f>
        <v>988.5866277099278</v>
      </c>
      <c r="H161" s="24">
        <f>F161*H162*H163/10000</f>
        <v>987.8138945415141</v>
      </c>
      <c r="I161" s="24">
        <f>G161*I162*I163/10000</f>
        <v>1160.4454928309049</v>
      </c>
      <c r="J161" s="24">
        <f>H161*J162*J163/10000</f>
        <v>1162.6246523610105</v>
      </c>
      <c r="K161" s="24">
        <f>I161*K162*K163/10000</f>
        <v>1341.065352453557</v>
      </c>
      <c r="L161" s="24">
        <f>J161*L162*L163/10000</f>
        <v>1349.3031073418695</v>
      </c>
    </row>
    <row r="162" spans="2:12" ht="30.75">
      <c r="B162" s="3" t="s">
        <v>88</v>
      </c>
      <c r="C162" s="7" t="s">
        <v>77</v>
      </c>
      <c r="D162" s="35">
        <v>118.75777386108406</v>
      </c>
      <c r="E162" s="42">
        <f>E161/D161/E163*10000</f>
        <v>118.32958880130313</v>
      </c>
      <c r="F162" s="42">
        <v>107.25</v>
      </c>
      <c r="G162" s="42">
        <v>109.21</v>
      </c>
      <c r="H162" s="42">
        <v>109.74</v>
      </c>
      <c r="I162" s="42">
        <v>110.22</v>
      </c>
      <c r="J162" s="42">
        <v>110.93</v>
      </c>
      <c r="K162" s="42">
        <v>109.54</v>
      </c>
      <c r="L162" s="42">
        <v>110.32</v>
      </c>
    </row>
    <row r="163" spans="2:12" s="9" customFormat="1" ht="36">
      <c r="B163" s="3" t="s">
        <v>325</v>
      </c>
      <c r="C163" s="7" t="s">
        <v>85</v>
      </c>
      <c r="D163" s="35">
        <v>106.8</v>
      </c>
      <c r="E163" s="42">
        <v>107.8</v>
      </c>
      <c r="F163" s="42">
        <v>115.7</v>
      </c>
      <c r="G163" s="42">
        <v>107</v>
      </c>
      <c r="H163" s="42">
        <v>106.4</v>
      </c>
      <c r="I163" s="42">
        <v>106.5</v>
      </c>
      <c r="J163" s="42">
        <v>106.1</v>
      </c>
      <c r="K163" s="42">
        <v>105.5</v>
      </c>
      <c r="L163" s="42">
        <v>105.2</v>
      </c>
    </row>
    <row r="164" spans="2:12" ht="18">
      <c r="B164" s="4" t="s">
        <v>89</v>
      </c>
      <c r="C164" s="23" t="s">
        <v>22</v>
      </c>
      <c r="D164" s="46">
        <v>1370.289</v>
      </c>
      <c r="E164" s="50">
        <v>1487.579</v>
      </c>
      <c r="F164" s="50">
        <v>1748.552</v>
      </c>
      <c r="G164" s="50">
        <f>F164*G165*G166/10000</f>
        <v>1993.9558526887997</v>
      </c>
      <c r="H164" s="50">
        <f>F164*H165*H166/10000</f>
        <v>1996.4928267855998</v>
      </c>
      <c r="I164" s="50">
        <f>G164*I165*I166/10000</f>
        <v>2254.168088442614</v>
      </c>
      <c r="J164" s="50">
        <f>H164*J165*J166/10000</f>
        <v>2265.7262732546837</v>
      </c>
      <c r="K164" s="50">
        <f>I164*K165*K166/10000</f>
        <v>2518.5592381192396</v>
      </c>
      <c r="L164" s="50">
        <f>J164*L165*L166/10000</f>
        <v>2541.693092772868</v>
      </c>
    </row>
    <row r="165" spans="2:12" ht="30.75">
      <c r="B165" s="4" t="s">
        <v>89</v>
      </c>
      <c r="C165" s="7" t="s">
        <v>77</v>
      </c>
      <c r="D165" s="35">
        <v>104.84</v>
      </c>
      <c r="E165" s="42">
        <v>104.84</v>
      </c>
      <c r="F165" s="42">
        <f>F164/E164/F166*10000</f>
        <v>105.5147860330645</v>
      </c>
      <c r="G165" s="42">
        <v>105.49</v>
      </c>
      <c r="H165" s="42">
        <v>105.82</v>
      </c>
      <c r="I165" s="42">
        <v>106.35</v>
      </c>
      <c r="J165" s="42">
        <v>106.86</v>
      </c>
      <c r="K165" s="42">
        <v>106.51</v>
      </c>
      <c r="L165" s="42">
        <v>106.94</v>
      </c>
    </row>
    <row r="166" spans="2:12" ht="18">
      <c r="B166" s="3" t="s">
        <v>90</v>
      </c>
      <c r="C166" s="7" t="s">
        <v>279</v>
      </c>
      <c r="D166" s="35">
        <v>107.6</v>
      </c>
      <c r="E166" s="42">
        <v>106.6</v>
      </c>
      <c r="F166" s="42">
        <v>111.4</v>
      </c>
      <c r="G166" s="42">
        <v>108.1</v>
      </c>
      <c r="H166" s="42">
        <v>107.9</v>
      </c>
      <c r="I166" s="42">
        <v>106.3</v>
      </c>
      <c r="J166" s="42">
        <v>106.2</v>
      </c>
      <c r="K166" s="42">
        <v>104.9</v>
      </c>
      <c r="L166" s="42">
        <v>104.9</v>
      </c>
    </row>
    <row r="167" spans="2:12" ht="37.5" customHeight="1">
      <c r="B167" s="86" t="s">
        <v>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8"/>
    </row>
    <row r="168" spans="2:12" ht="18">
      <c r="B168" s="1" t="s">
        <v>343</v>
      </c>
      <c r="C168" s="17"/>
      <c r="D168" s="17" t="s">
        <v>335</v>
      </c>
      <c r="E168" s="17" t="s">
        <v>335</v>
      </c>
      <c r="F168" s="17" t="s">
        <v>335</v>
      </c>
      <c r="G168" s="17" t="s">
        <v>335</v>
      </c>
      <c r="H168" s="17" t="s">
        <v>335</v>
      </c>
      <c r="I168" s="17" t="s">
        <v>335</v>
      </c>
      <c r="J168" s="17" t="s">
        <v>335</v>
      </c>
      <c r="K168" s="17" t="s">
        <v>335</v>
      </c>
      <c r="L168" s="17" t="s">
        <v>335</v>
      </c>
    </row>
    <row r="169" spans="2:12" ht="18">
      <c r="B169" s="3" t="s">
        <v>344</v>
      </c>
      <c r="C169" s="17" t="s">
        <v>91</v>
      </c>
      <c r="D169" s="17" t="s">
        <v>335</v>
      </c>
      <c r="E169" s="17" t="s">
        <v>335</v>
      </c>
      <c r="F169" s="17" t="s">
        <v>335</v>
      </c>
      <c r="G169" s="17" t="s">
        <v>335</v>
      </c>
      <c r="H169" s="17" t="s">
        <v>335</v>
      </c>
      <c r="I169" s="17" t="s">
        <v>335</v>
      </c>
      <c r="J169" s="17" t="s">
        <v>335</v>
      </c>
      <c r="K169" s="17" t="s">
        <v>335</v>
      </c>
      <c r="L169" s="17" t="s">
        <v>335</v>
      </c>
    </row>
    <row r="170" spans="2:12" ht="18">
      <c r="B170" s="3" t="s">
        <v>92</v>
      </c>
      <c r="C170" s="17"/>
      <c r="D170" s="17" t="s">
        <v>335</v>
      </c>
      <c r="E170" s="17" t="s">
        <v>335</v>
      </c>
      <c r="F170" s="17" t="s">
        <v>335</v>
      </c>
      <c r="G170" s="17" t="s">
        <v>335</v>
      </c>
      <c r="H170" s="17" t="s">
        <v>335</v>
      </c>
      <c r="I170" s="17" t="s">
        <v>335</v>
      </c>
      <c r="J170" s="17" t="s">
        <v>335</v>
      </c>
      <c r="K170" s="17" t="s">
        <v>335</v>
      </c>
      <c r="L170" s="17" t="s">
        <v>335</v>
      </c>
    </row>
    <row r="171" spans="2:12" ht="18">
      <c r="B171" s="3" t="s">
        <v>93</v>
      </c>
      <c r="C171" s="17" t="s">
        <v>91</v>
      </c>
      <c r="D171" s="17" t="s">
        <v>335</v>
      </c>
      <c r="E171" s="17" t="s">
        <v>335</v>
      </c>
      <c r="F171" s="17" t="s">
        <v>335</v>
      </c>
      <c r="G171" s="17" t="s">
        <v>335</v>
      </c>
      <c r="H171" s="17" t="s">
        <v>335</v>
      </c>
      <c r="I171" s="17" t="s">
        <v>335</v>
      </c>
      <c r="J171" s="17" t="s">
        <v>335</v>
      </c>
      <c r="K171" s="17" t="s">
        <v>335</v>
      </c>
      <c r="L171" s="17" t="s">
        <v>335</v>
      </c>
    </row>
    <row r="172" spans="2:12" ht="18">
      <c r="B172" s="3" t="s">
        <v>94</v>
      </c>
      <c r="C172" s="28" t="s">
        <v>91</v>
      </c>
      <c r="D172" s="17" t="s">
        <v>335</v>
      </c>
      <c r="E172" s="17" t="s">
        <v>335</v>
      </c>
      <c r="F172" s="17" t="s">
        <v>335</v>
      </c>
      <c r="G172" s="17" t="s">
        <v>335</v>
      </c>
      <c r="H172" s="17" t="s">
        <v>335</v>
      </c>
      <c r="I172" s="17" t="s">
        <v>335</v>
      </c>
      <c r="J172" s="17" t="s">
        <v>335</v>
      </c>
      <c r="K172" s="17" t="s">
        <v>335</v>
      </c>
      <c r="L172" s="17" t="s">
        <v>335</v>
      </c>
    </row>
    <row r="173" spans="2:12" ht="18">
      <c r="B173" s="3" t="s">
        <v>95</v>
      </c>
      <c r="C173" s="17" t="s">
        <v>91</v>
      </c>
      <c r="D173" s="17" t="s">
        <v>335</v>
      </c>
      <c r="E173" s="17" t="s">
        <v>335</v>
      </c>
      <c r="F173" s="17" t="s">
        <v>335</v>
      </c>
      <c r="G173" s="17" t="s">
        <v>335</v>
      </c>
      <c r="H173" s="17" t="s">
        <v>335</v>
      </c>
      <c r="I173" s="17" t="s">
        <v>335</v>
      </c>
      <c r="J173" s="17" t="s">
        <v>335</v>
      </c>
      <c r="K173" s="17" t="s">
        <v>335</v>
      </c>
      <c r="L173" s="17" t="s">
        <v>335</v>
      </c>
    </row>
    <row r="174" spans="2:12" ht="18">
      <c r="B174" s="3" t="s">
        <v>96</v>
      </c>
      <c r="C174" s="28" t="s">
        <v>91</v>
      </c>
      <c r="D174" s="17" t="s">
        <v>335</v>
      </c>
      <c r="E174" s="17" t="s">
        <v>335</v>
      </c>
      <c r="F174" s="17" t="s">
        <v>335</v>
      </c>
      <c r="G174" s="17" t="s">
        <v>335</v>
      </c>
      <c r="H174" s="17" t="s">
        <v>335</v>
      </c>
      <c r="I174" s="17" t="s">
        <v>335</v>
      </c>
      <c r="J174" s="17" t="s">
        <v>335</v>
      </c>
      <c r="K174" s="17" t="s">
        <v>335</v>
      </c>
      <c r="L174" s="17" t="s">
        <v>335</v>
      </c>
    </row>
    <row r="175" spans="2:12" ht="36">
      <c r="B175" s="3" t="s">
        <v>97</v>
      </c>
      <c r="C175" s="28" t="s">
        <v>91</v>
      </c>
      <c r="D175" s="17" t="s">
        <v>335</v>
      </c>
      <c r="E175" s="17" t="s">
        <v>335</v>
      </c>
      <c r="F175" s="17" t="s">
        <v>335</v>
      </c>
      <c r="G175" s="17" t="s">
        <v>335</v>
      </c>
      <c r="H175" s="17" t="s">
        <v>335</v>
      </c>
      <c r="I175" s="17" t="s">
        <v>335</v>
      </c>
      <c r="J175" s="17" t="s">
        <v>335</v>
      </c>
      <c r="K175" s="17" t="s">
        <v>335</v>
      </c>
      <c r="L175" s="17" t="s">
        <v>335</v>
      </c>
    </row>
    <row r="176" spans="2:12" ht="18">
      <c r="B176" s="3" t="s">
        <v>98</v>
      </c>
      <c r="C176" s="28" t="s">
        <v>91</v>
      </c>
      <c r="D176" s="17" t="s">
        <v>335</v>
      </c>
      <c r="E176" s="17" t="s">
        <v>335</v>
      </c>
      <c r="F176" s="17" t="s">
        <v>335</v>
      </c>
      <c r="G176" s="17" t="s">
        <v>335</v>
      </c>
      <c r="H176" s="17" t="s">
        <v>335</v>
      </c>
      <c r="I176" s="17" t="s">
        <v>335</v>
      </c>
      <c r="J176" s="17" t="s">
        <v>335</v>
      </c>
      <c r="K176" s="17" t="s">
        <v>335</v>
      </c>
      <c r="L176" s="17" t="s">
        <v>335</v>
      </c>
    </row>
    <row r="177" spans="2:12" ht="36">
      <c r="B177" s="3" t="s">
        <v>99</v>
      </c>
      <c r="C177" s="28" t="s">
        <v>91</v>
      </c>
      <c r="D177" s="17" t="s">
        <v>335</v>
      </c>
      <c r="E177" s="17" t="s">
        <v>335</v>
      </c>
      <c r="F177" s="17" t="s">
        <v>335</v>
      </c>
      <c r="G177" s="17" t="s">
        <v>335</v>
      </c>
      <c r="H177" s="17" t="s">
        <v>335</v>
      </c>
      <c r="I177" s="17" t="s">
        <v>335</v>
      </c>
      <c r="J177" s="17" t="s">
        <v>335</v>
      </c>
      <c r="K177" s="17" t="s">
        <v>335</v>
      </c>
      <c r="L177" s="17" t="s">
        <v>335</v>
      </c>
    </row>
    <row r="178" spans="2:12" ht="18">
      <c r="B178" s="3" t="s">
        <v>100</v>
      </c>
      <c r="C178" s="28" t="s">
        <v>91</v>
      </c>
      <c r="D178" s="17" t="s">
        <v>335</v>
      </c>
      <c r="E178" s="17" t="s">
        <v>335</v>
      </c>
      <c r="F178" s="17" t="s">
        <v>335</v>
      </c>
      <c r="G178" s="17" t="s">
        <v>335</v>
      </c>
      <c r="H178" s="17" t="s">
        <v>335</v>
      </c>
      <c r="I178" s="17" t="s">
        <v>335</v>
      </c>
      <c r="J178" s="17" t="s">
        <v>335</v>
      </c>
      <c r="K178" s="17" t="s">
        <v>335</v>
      </c>
      <c r="L178" s="17" t="s">
        <v>335</v>
      </c>
    </row>
    <row r="179" spans="2:12" ht="36">
      <c r="B179" s="3" t="s">
        <v>361</v>
      </c>
      <c r="C179" s="28" t="s">
        <v>101</v>
      </c>
      <c r="D179" s="17" t="s">
        <v>335</v>
      </c>
      <c r="E179" s="17" t="s">
        <v>335</v>
      </c>
      <c r="F179" s="17" t="s">
        <v>335</v>
      </c>
      <c r="G179" s="17" t="s">
        <v>335</v>
      </c>
      <c r="H179" s="17" t="s">
        <v>335</v>
      </c>
      <c r="I179" s="17" t="s">
        <v>335</v>
      </c>
      <c r="J179" s="17" t="s">
        <v>335</v>
      </c>
      <c r="K179" s="17" t="s">
        <v>335</v>
      </c>
      <c r="L179" s="17" t="s">
        <v>335</v>
      </c>
    </row>
    <row r="180" spans="2:12" ht="18">
      <c r="B180" s="3" t="s">
        <v>92</v>
      </c>
      <c r="C180" s="29"/>
      <c r="D180" s="17" t="s">
        <v>335</v>
      </c>
      <c r="E180" s="17" t="s">
        <v>335</v>
      </c>
      <c r="F180" s="17" t="s">
        <v>335</v>
      </c>
      <c r="G180" s="17" t="s">
        <v>335</v>
      </c>
      <c r="H180" s="17" t="s">
        <v>335</v>
      </c>
      <c r="I180" s="17" t="s">
        <v>335</v>
      </c>
      <c r="J180" s="17" t="s">
        <v>335</v>
      </c>
      <c r="K180" s="17" t="s">
        <v>335</v>
      </c>
      <c r="L180" s="17" t="s">
        <v>335</v>
      </c>
    </row>
    <row r="181" spans="2:12" ht="18">
      <c r="B181" s="3" t="s">
        <v>93</v>
      </c>
      <c r="C181" s="17" t="s">
        <v>101</v>
      </c>
      <c r="D181" s="17" t="s">
        <v>335</v>
      </c>
      <c r="E181" s="17" t="s">
        <v>335</v>
      </c>
      <c r="F181" s="17" t="s">
        <v>335</v>
      </c>
      <c r="G181" s="17" t="s">
        <v>335</v>
      </c>
      <c r="H181" s="17" t="s">
        <v>335</v>
      </c>
      <c r="I181" s="17" t="s">
        <v>335</v>
      </c>
      <c r="J181" s="17" t="s">
        <v>335</v>
      </c>
      <c r="K181" s="17" t="s">
        <v>335</v>
      </c>
      <c r="L181" s="17" t="s">
        <v>335</v>
      </c>
    </row>
    <row r="182" spans="2:12" ht="18">
      <c r="B182" s="3" t="s">
        <v>94</v>
      </c>
      <c r="C182" s="17" t="s">
        <v>101</v>
      </c>
      <c r="D182" s="17" t="s">
        <v>335</v>
      </c>
      <c r="E182" s="17" t="s">
        <v>335</v>
      </c>
      <c r="F182" s="17" t="s">
        <v>335</v>
      </c>
      <c r="G182" s="17" t="s">
        <v>335</v>
      </c>
      <c r="H182" s="17" t="s">
        <v>335</v>
      </c>
      <c r="I182" s="17" t="s">
        <v>335</v>
      </c>
      <c r="J182" s="17" t="s">
        <v>335</v>
      </c>
      <c r="K182" s="17" t="s">
        <v>335</v>
      </c>
      <c r="L182" s="17" t="s">
        <v>335</v>
      </c>
    </row>
    <row r="183" spans="2:12" ht="18">
      <c r="B183" s="3" t="s">
        <v>95</v>
      </c>
      <c r="C183" s="17" t="s">
        <v>101</v>
      </c>
      <c r="D183" s="17" t="s">
        <v>335</v>
      </c>
      <c r="E183" s="17" t="s">
        <v>335</v>
      </c>
      <c r="F183" s="17" t="s">
        <v>335</v>
      </c>
      <c r="G183" s="17" t="s">
        <v>335</v>
      </c>
      <c r="H183" s="17" t="s">
        <v>335</v>
      </c>
      <c r="I183" s="17" t="s">
        <v>335</v>
      </c>
      <c r="J183" s="17" t="s">
        <v>335</v>
      </c>
      <c r="K183" s="17" t="s">
        <v>335</v>
      </c>
      <c r="L183" s="17" t="s">
        <v>335</v>
      </c>
    </row>
    <row r="184" spans="2:12" ht="18">
      <c r="B184" s="3" t="s">
        <v>96</v>
      </c>
      <c r="C184" s="17" t="s">
        <v>101</v>
      </c>
      <c r="D184" s="17" t="s">
        <v>335</v>
      </c>
      <c r="E184" s="17" t="s">
        <v>335</v>
      </c>
      <c r="F184" s="17" t="s">
        <v>335</v>
      </c>
      <c r="G184" s="17" t="s">
        <v>335</v>
      </c>
      <c r="H184" s="17" t="s">
        <v>335</v>
      </c>
      <c r="I184" s="17" t="s">
        <v>335</v>
      </c>
      <c r="J184" s="17" t="s">
        <v>335</v>
      </c>
      <c r="K184" s="17" t="s">
        <v>335</v>
      </c>
      <c r="L184" s="17" t="s">
        <v>335</v>
      </c>
    </row>
    <row r="185" spans="2:12" ht="36">
      <c r="B185" s="3" t="s">
        <v>97</v>
      </c>
      <c r="C185" s="17" t="s">
        <v>101</v>
      </c>
      <c r="D185" s="17" t="s">
        <v>335</v>
      </c>
      <c r="E185" s="17" t="s">
        <v>335</v>
      </c>
      <c r="F185" s="17" t="s">
        <v>335</v>
      </c>
      <c r="G185" s="17" t="s">
        <v>335</v>
      </c>
      <c r="H185" s="17" t="s">
        <v>335</v>
      </c>
      <c r="I185" s="17" t="s">
        <v>335</v>
      </c>
      <c r="J185" s="17" t="s">
        <v>335</v>
      </c>
      <c r="K185" s="17" t="s">
        <v>335</v>
      </c>
      <c r="L185" s="17" t="s">
        <v>335</v>
      </c>
    </row>
    <row r="186" spans="2:12" ht="18">
      <c r="B186" s="3" t="s">
        <v>98</v>
      </c>
      <c r="C186" s="17" t="s">
        <v>101</v>
      </c>
      <c r="D186" s="17" t="s">
        <v>335</v>
      </c>
      <c r="E186" s="17" t="s">
        <v>335</v>
      </c>
      <c r="F186" s="17" t="s">
        <v>335</v>
      </c>
      <c r="G186" s="17" t="s">
        <v>335</v>
      </c>
      <c r="H186" s="17" t="s">
        <v>335</v>
      </c>
      <c r="I186" s="17" t="s">
        <v>335</v>
      </c>
      <c r="J186" s="17" t="s">
        <v>335</v>
      </c>
      <c r="K186" s="17" t="s">
        <v>335</v>
      </c>
      <c r="L186" s="17" t="s">
        <v>335</v>
      </c>
    </row>
    <row r="187" spans="2:12" ht="36">
      <c r="B187" s="3" t="s">
        <v>102</v>
      </c>
      <c r="C187" s="17" t="s">
        <v>101</v>
      </c>
      <c r="D187" s="17" t="s">
        <v>335</v>
      </c>
      <c r="E187" s="17" t="s">
        <v>335</v>
      </c>
      <c r="F187" s="17" t="s">
        <v>335</v>
      </c>
      <c r="G187" s="17" t="s">
        <v>335</v>
      </c>
      <c r="H187" s="17" t="s">
        <v>335</v>
      </c>
      <c r="I187" s="17" t="s">
        <v>335</v>
      </c>
      <c r="J187" s="17" t="s">
        <v>335</v>
      </c>
      <c r="K187" s="17" t="s">
        <v>335</v>
      </c>
      <c r="L187" s="17" t="s">
        <v>335</v>
      </c>
    </row>
    <row r="188" spans="2:12" ht="18">
      <c r="B188" s="3" t="s">
        <v>103</v>
      </c>
      <c r="C188" s="17" t="s">
        <v>101</v>
      </c>
      <c r="D188" s="17" t="s">
        <v>335</v>
      </c>
      <c r="E188" s="17" t="s">
        <v>335</v>
      </c>
      <c r="F188" s="17" t="s">
        <v>335</v>
      </c>
      <c r="G188" s="17" t="s">
        <v>335</v>
      </c>
      <c r="H188" s="17" t="s">
        <v>335</v>
      </c>
      <c r="I188" s="17" t="s">
        <v>335</v>
      </c>
      <c r="J188" s="17" t="s">
        <v>335</v>
      </c>
      <c r="K188" s="17" t="s">
        <v>335</v>
      </c>
      <c r="L188" s="17" t="s">
        <v>335</v>
      </c>
    </row>
    <row r="189" spans="2:12" ht="18">
      <c r="B189" s="3" t="s">
        <v>345</v>
      </c>
      <c r="C189" s="17" t="s">
        <v>104</v>
      </c>
      <c r="D189" s="17" t="s">
        <v>335</v>
      </c>
      <c r="E189" s="17" t="s">
        <v>335</v>
      </c>
      <c r="F189" s="17" t="s">
        <v>335</v>
      </c>
      <c r="G189" s="17" t="s">
        <v>335</v>
      </c>
      <c r="H189" s="17" t="s">
        <v>335</v>
      </c>
      <c r="I189" s="17" t="s">
        <v>335</v>
      </c>
      <c r="J189" s="17" t="s">
        <v>335</v>
      </c>
      <c r="K189" s="17" t="s">
        <v>335</v>
      </c>
      <c r="L189" s="17" t="s">
        <v>335</v>
      </c>
    </row>
    <row r="190" spans="2:12" ht="18">
      <c r="B190" s="3" t="s">
        <v>105</v>
      </c>
      <c r="C190" s="17"/>
      <c r="D190" s="17" t="s">
        <v>335</v>
      </c>
      <c r="E190" s="17" t="s">
        <v>335</v>
      </c>
      <c r="F190" s="17" t="s">
        <v>335</v>
      </c>
      <c r="G190" s="17" t="s">
        <v>335</v>
      </c>
      <c r="H190" s="17" t="s">
        <v>335</v>
      </c>
      <c r="I190" s="17" t="s">
        <v>335</v>
      </c>
      <c r="J190" s="17" t="s">
        <v>335</v>
      </c>
      <c r="K190" s="17" t="s">
        <v>335</v>
      </c>
      <c r="L190" s="17" t="s">
        <v>335</v>
      </c>
    </row>
    <row r="191" spans="2:12" ht="18">
      <c r="B191" s="3" t="s">
        <v>93</v>
      </c>
      <c r="C191" s="17" t="s">
        <v>104</v>
      </c>
      <c r="D191" s="17" t="s">
        <v>335</v>
      </c>
      <c r="E191" s="17" t="s">
        <v>335</v>
      </c>
      <c r="F191" s="17" t="s">
        <v>335</v>
      </c>
      <c r="G191" s="17" t="s">
        <v>335</v>
      </c>
      <c r="H191" s="17" t="s">
        <v>335</v>
      </c>
      <c r="I191" s="17" t="s">
        <v>335</v>
      </c>
      <c r="J191" s="17" t="s">
        <v>335</v>
      </c>
      <c r="K191" s="17" t="s">
        <v>335</v>
      </c>
      <c r="L191" s="17" t="s">
        <v>335</v>
      </c>
    </row>
    <row r="192" spans="2:12" ht="18">
      <c r="B192" s="3" t="s">
        <v>94</v>
      </c>
      <c r="C192" s="17" t="s">
        <v>104</v>
      </c>
      <c r="D192" s="17" t="s">
        <v>335</v>
      </c>
      <c r="E192" s="17" t="s">
        <v>335</v>
      </c>
      <c r="F192" s="17" t="s">
        <v>335</v>
      </c>
      <c r="G192" s="17" t="s">
        <v>335</v>
      </c>
      <c r="H192" s="17" t="s">
        <v>335</v>
      </c>
      <c r="I192" s="17" t="s">
        <v>335</v>
      </c>
      <c r="J192" s="17" t="s">
        <v>335</v>
      </c>
      <c r="K192" s="17" t="s">
        <v>335</v>
      </c>
      <c r="L192" s="17" t="s">
        <v>335</v>
      </c>
    </row>
    <row r="193" spans="2:12" ht="18">
      <c r="B193" s="3" t="s">
        <v>95</v>
      </c>
      <c r="C193" s="17" t="s">
        <v>104</v>
      </c>
      <c r="D193" s="17" t="s">
        <v>335</v>
      </c>
      <c r="E193" s="17" t="s">
        <v>335</v>
      </c>
      <c r="F193" s="17" t="s">
        <v>335</v>
      </c>
      <c r="G193" s="17" t="s">
        <v>335</v>
      </c>
      <c r="H193" s="17" t="s">
        <v>335</v>
      </c>
      <c r="I193" s="17" t="s">
        <v>335</v>
      </c>
      <c r="J193" s="17" t="s">
        <v>335</v>
      </c>
      <c r="K193" s="17" t="s">
        <v>335</v>
      </c>
      <c r="L193" s="17" t="s">
        <v>335</v>
      </c>
    </row>
    <row r="194" spans="2:12" ht="18">
      <c r="B194" s="3" t="s">
        <v>96</v>
      </c>
      <c r="C194" s="17" t="s">
        <v>104</v>
      </c>
      <c r="D194" s="17" t="s">
        <v>335</v>
      </c>
      <c r="E194" s="17" t="s">
        <v>335</v>
      </c>
      <c r="F194" s="17" t="s">
        <v>335</v>
      </c>
      <c r="G194" s="17" t="s">
        <v>335</v>
      </c>
      <c r="H194" s="17" t="s">
        <v>335</v>
      </c>
      <c r="I194" s="17" t="s">
        <v>335</v>
      </c>
      <c r="J194" s="17" t="s">
        <v>335</v>
      </c>
      <c r="K194" s="17" t="s">
        <v>335</v>
      </c>
      <c r="L194" s="17" t="s">
        <v>335</v>
      </c>
    </row>
    <row r="195" spans="2:12" ht="36">
      <c r="B195" s="3" t="s">
        <v>97</v>
      </c>
      <c r="C195" s="17" t="s">
        <v>104</v>
      </c>
      <c r="D195" s="17" t="s">
        <v>335</v>
      </c>
      <c r="E195" s="17" t="s">
        <v>335</v>
      </c>
      <c r="F195" s="17" t="s">
        <v>335</v>
      </c>
      <c r="G195" s="17" t="s">
        <v>335</v>
      </c>
      <c r="H195" s="17" t="s">
        <v>335</v>
      </c>
      <c r="I195" s="17" t="s">
        <v>335</v>
      </c>
      <c r="J195" s="17" t="s">
        <v>335</v>
      </c>
      <c r="K195" s="17" t="s">
        <v>335</v>
      </c>
      <c r="L195" s="17" t="s">
        <v>335</v>
      </c>
    </row>
    <row r="196" spans="2:12" ht="18">
      <c r="B196" s="3" t="s">
        <v>98</v>
      </c>
      <c r="C196" s="17" t="s">
        <v>104</v>
      </c>
      <c r="D196" s="17" t="s">
        <v>335</v>
      </c>
      <c r="E196" s="17" t="s">
        <v>335</v>
      </c>
      <c r="F196" s="17" t="s">
        <v>335</v>
      </c>
      <c r="G196" s="17" t="s">
        <v>335</v>
      </c>
      <c r="H196" s="17" t="s">
        <v>335</v>
      </c>
      <c r="I196" s="17" t="s">
        <v>335</v>
      </c>
      <c r="J196" s="17" t="s">
        <v>335</v>
      </c>
      <c r="K196" s="17" t="s">
        <v>335</v>
      </c>
      <c r="L196" s="17" t="s">
        <v>335</v>
      </c>
    </row>
    <row r="197" spans="2:12" ht="36">
      <c r="B197" s="3" t="s">
        <v>99</v>
      </c>
      <c r="C197" s="17" t="s">
        <v>104</v>
      </c>
      <c r="D197" s="17" t="s">
        <v>335</v>
      </c>
      <c r="E197" s="17" t="s">
        <v>335</v>
      </c>
      <c r="F197" s="17" t="s">
        <v>335</v>
      </c>
      <c r="G197" s="17" t="s">
        <v>335</v>
      </c>
      <c r="H197" s="17" t="s">
        <v>335</v>
      </c>
      <c r="I197" s="17" t="s">
        <v>335</v>
      </c>
      <c r="J197" s="17" t="s">
        <v>335</v>
      </c>
      <c r="K197" s="17" t="s">
        <v>335</v>
      </c>
      <c r="L197" s="17" t="s">
        <v>335</v>
      </c>
    </row>
    <row r="198" spans="2:12" ht="18">
      <c r="B198" s="3" t="s">
        <v>41</v>
      </c>
      <c r="C198" s="17"/>
      <c r="D198" s="17" t="s">
        <v>335</v>
      </c>
      <c r="E198" s="17" t="s">
        <v>335</v>
      </c>
      <c r="F198" s="17" t="s">
        <v>335</v>
      </c>
      <c r="G198" s="17" t="s">
        <v>335</v>
      </c>
      <c r="H198" s="17" t="s">
        <v>335</v>
      </c>
      <c r="I198" s="17" t="s">
        <v>335</v>
      </c>
      <c r="J198" s="17" t="s">
        <v>335</v>
      </c>
      <c r="K198" s="17" t="s">
        <v>335</v>
      </c>
      <c r="L198" s="17" t="s">
        <v>335</v>
      </c>
    </row>
    <row r="199" spans="2:12" ht="18">
      <c r="B199" s="3" t="s">
        <v>106</v>
      </c>
      <c r="C199" s="17" t="s">
        <v>104</v>
      </c>
      <c r="D199" s="17" t="s">
        <v>335</v>
      </c>
      <c r="E199" s="17" t="s">
        <v>335</v>
      </c>
      <c r="F199" s="17" t="s">
        <v>335</v>
      </c>
      <c r="G199" s="17" t="s">
        <v>335</v>
      </c>
      <c r="H199" s="17" t="s">
        <v>335</v>
      </c>
      <c r="I199" s="17" t="s">
        <v>335</v>
      </c>
      <c r="J199" s="17" t="s">
        <v>335</v>
      </c>
      <c r="K199" s="17" t="s">
        <v>335</v>
      </c>
      <c r="L199" s="17" t="s">
        <v>335</v>
      </c>
    </row>
    <row r="200" spans="2:12" ht="18">
      <c r="B200" s="1" t="s">
        <v>346</v>
      </c>
      <c r="C200" s="17"/>
      <c r="D200" s="17" t="s">
        <v>335</v>
      </c>
      <c r="E200" s="17" t="s">
        <v>335</v>
      </c>
      <c r="F200" s="17" t="s">
        <v>335</v>
      </c>
      <c r="G200" s="17" t="s">
        <v>335</v>
      </c>
      <c r="H200" s="17" t="s">
        <v>335</v>
      </c>
      <c r="I200" s="17" t="s">
        <v>335</v>
      </c>
      <c r="J200" s="17" t="s">
        <v>335</v>
      </c>
      <c r="K200" s="17" t="s">
        <v>335</v>
      </c>
      <c r="L200" s="17" t="s">
        <v>335</v>
      </c>
    </row>
    <row r="201" spans="2:12" ht="36">
      <c r="B201" s="3" t="s">
        <v>347</v>
      </c>
      <c r="C201" s="28" t="s">
        <v>91</v>
      </c>
      <c r="D201" s="79">
        <v>1103</v>
      </c>
      <c r="E201" s="80">
        <v>1119</v>
      </c>
      <c r="F201" s="80">
        <v>1130</v>
      </c>
      <c r="G201" s="80">
        <v>1140</v>
      </c>
      <c r="H201" s="80">
        <v>1150</v>
      </c>
      <c r="I201" s="80">
        <v>1160</v>
      </c>
      <c r="J201" s="80">
        <v>1170</v>
      </c>
      <c r="K201" s="80">
        <v>1180</v>
      </c>
      <c r="L201" s="80">
        <v>1190</v>
      </c>
    </row>
    <row r="202" spans="2:12" ht="18">
      <c r="B202" s="3" t="s">
        <v>92</v>
      </c>
      <c r="C202" s="17"/>
      <c r="D202" s="79" t="s">
        <v>335</v>
      </c>
      <c r="E202" s="80"/>
      <c r="F202" s="80"/>
      <c r="G202" s="80"/>
      <c r="H202" s="80"/>
      <c r="I202" s="80"/>
      <c r="J202" s="80"/>
      <c r="K202" s="80"/>
      <c r="L202" s="80"/>
    </row>
    <row r="203" spans="2:12" ht="18">
      <c r="B203" s="3" t="s">
        <v>93</v>
      </c>
      <c r="C203" s="17" t="s">
        <v>91</v>
      </c>
      <c r="D203" s="81">
        <v>1</v>
      </c>
      <c r="E203" s="80">
        <v>1</v>
      </c>
      <c r="F203" s="80">
        <v>1</v>
      </c>
      <c r="G203" s="80">
        <v>1</v>
      </c>
      <c r="H203" s="80">
        <v>1</v>
      </c>
      <c r="I203" s="80">
        <v>1</v>
      </c>
      <c r="J203" s="80">
        <v>1</v>
      </c>
      <c r="K203" s="80">
        <v>1</v>
      </c>
      <c r="L203" s="80">
        <v>1</v>
      </c>
    </row>
    <row r="204" spans="2:12" ht="18">
      <c r="B204" s="3" t="s">
        <v>94</v>
      </c>
      <c r="C204" s="28" t="s">
        <v>91</v>
      </c>
      <c r="D204" s="79">
        <v>60</v>
      </c>
      <c r="E204" s="80">
        <v>62</v>
      </c>
      <c r="F204" s="80">
        <v>60</v>
      </c>
      <c r="G204" s="80">
        <v>60</v>
      </c>
      <c r="H204" s="80">
        <v>60</v>
      </c>
      <c r="I204" s="80">
        <v>58</v>
      </c>
      <c r="J204" s="80">
        <v>58</v>
      </c>
      <c r="K204" s="80">
        <v>58</v>
      </c>
      <c r="L204" s="80">
        <v>58</v>
      </c>
    </row>
    <row r="205" spans="2:12" ht="18">
      <c r="B205" s="3" t="s">
        <v>95</v>
      </c>
      <c r="C205" s="17" t="s">
        <v>91</v>
      </c>
      <c r="D205" s="81">
        <v>1</v>
      </c>
      <c r="E205" s="80">
        <v>1</v>
      </c>
      <c r="F205" s="80">
        <v>1</v>
      </c>
      <c r="G205" s="80">
        <v>1</v>
      </c>
      <c r="H205" s="80">
        <v>1</v>
      </c>
      <c r="I205" s="80">
        <v>1</v>
      </c>
      <c r="J205" s="80">
        <v>1</v>
      </c>
      <c r="K205" s="80">
        <v>1</v>
      </c>
      <c r="L205" s="80">
        <v>1</v>
      </c>
    </row>
    <row r="206" spans="2:12" ht="18">
      <c r="B206" s="3" t="s">
        <v>96</v>
      </c>
      <c r="C206" s="28" t="s">
        <v>91</v>
      </c>
      <c r="D206" s="79">
        <v>62</v>
      </c>
      <c r="E206" s="80">
        <v>60</v>
      </c>
      <c r="F206" s="80">
        <v>62</v>
      </c>
      <c r="G206" s="80">
        <v>62</v>
      </c>
      <c r="H206" s="80">
        <v>62</v>
      </c>
      <c r="I206" s="80">
        <v>65</v>
      </c>
      <c r="J206" s="80">
        <v>65</v>
      </c>
      <c r="K206" s="80">
        <v>65</v>
      </c>
      <c r="L206" s="80">
        <v>65</v>
      </c>
    </row>
    <row r="207" spans="2:12" ht="36">
      <c r="B207" s="3" t="s">
        <v>97</v>
      </c>
      <c r="C207" s="28" t="s">
        <v>91</v>
      </c>
      <c r="D207" s="79">
        <v>376</v>
      </c>
      <c r="E207" s="80">
        <v>380</v>
      </c>
      <c r="F207" s="80">
        <v>390</v>
      </c>
      <c r="G207" s="80">
        <v>395</v>
      </c>
      <c r="H207" s="80">
        <v>395</v>
      </c>
      <c r="I207" s="80">
        <v>400</v>
      </c>
      <c r="J207" s="80">
        <v>400</v>
      </c>
      <c r="K207" s="80">
        <v>405</v>
      </c>
      <c r="L207" s="80">
        <v>405</v>
      </c>
    </row>
    <row r="208" spans="2:12" ht="18">
      <c r="B208" s="3" t="s">
        <v>98</v>
      </c>
      <c r="C208" s="28" t="s">
        <v>91</v>
      </c>
      <c r="D208" s="79">
        <v>214</v>
      </c>
      <c r="E208" s="80">
        <v>214</v>
      </c>
      <c r="F208" s="80">
        <v>210</v>
      </c>
      <c r="G208" s="80">
        <v>210</v>
      </c>
      <c r="H208" s="80">
        <v>210</v>
      </c>
      <c r="I208" s="80">
        <v>215</v>
      </c>
      <c r="J208" s="80">
        <v>215</v>
      </c>
      <c r="K208" s="80">
        <v>215</v>
      </c>
      <c r="L208" s="80">
        <v>215</v>
      </c>
    </row>
    <row r="209" spans="2:12" ht="36">
      <c r="B209" s="3" t="s">
        <v>99</v>
      </c>
      <c r="C209" s="28" t="s">
        <v>91</v>
      </c>
      <c r="D209" s="79">
        <v>82</v>
      </c>
      <c r="E209" s="80">
        <v>82</v>
      </c>
      <c r="F209" s="80">
        <v>82</v>
      </c>
      <c r="G209" s="80">
        <v>82</v>
      </c>
      <c r="H209" s="80">
        <v>82</v>
      </c>
      <c r="I209" s="80">
        <v>84</v>
      </c>
      <c r="J209" s="80">
        <v>84</v>
      </c>
      <c r="K209" s="80">
        <v>84</v>
      </c>
      <c r="L209" s="80">
        <v>84</v>
      </c>
    </row>
    <row r="210" spans="2:12" ht="18">
      <c r="B210" s="3" t="s">
        <v>100</v>
      </c>
      <c r="C210" s="28" t="s">
        <v>91</v>
      </c>
      <c r="D210" s="79" t="s">
        <v>335</v>
      </c>
      <c r="E210" s="80" t="s">
        <v>335</v>
      </c>
      <c r="F210" s="80" t="s">
        <v>335</v>
      </c>
      <c r="G210" s="80" t="s">
        <v>335</v>
      </c>
      <c r="H210" s="80" t="s">
        <v>335</v>
      </c>
      <c r="I210" s="80" t="s">
        <v>335</v>
      </c>
      <c r="J210" s="80" t="s">
        <v>335</v>
      </c>
      <c r="K210" s="80" t="s">
        <v>335</v>
      </c>
      <c r="L210" s="80" t="s">
        <v>335</v>
      </c>
    </row>
    <row r="211" spans="2:12" ht="36">
      <c r="B211" s="3" t="s">
        <v>361</v>
      </c>
      <c r="C211" s="28" t="s">
        <v>101</v>
      </c>
      <c r="D211" s="67">
        <v>4.12</v>
      </c>
      <c r="E211" s="62">
        <v>4.23</v>
      </c>
      <c r="F211" s="62">
        <v>4.26</v>
      </c>
      <c r="G211" s="62">
        <v>4.27</v>
      </c>
      <c r="H211" s="62">
        <v>4.28</v>
      </c>
      <c r="I211" s="62">
        <v>4.3</v>
      </c>
      <c r="J211" s="62">
        <v>4.31</v>
      </c>
      <c r="K211" s="62">
        <v>4.34</v>
      </c>
      <c r="L211" s="62">
        <v>4.35</v>
      </c>
    </row>
    <row r="212" spans="2:12" ht="18">
      <c r="B212" s="3" t="s">
        <v>92</v>
      </c>
      <c r="C212" s="29"/>
      <c r="D212" s="79" t="s">
        <v>335</v>
      </c>
      <c r="E212" s="80"/>
      <c r="F212" s="80"/>
      <c r="G212" s="80"/>
      <c r="H212" s="80"/>
      <c r="I212" s="80"/>
      <c r="J212" s="80"/>
      <c r="K212" s="80"/>
      <c r="L212" s="80"/>
    </row>
    <row r="213" spans="2:12" ht="18">
      <c r="B213" s="3" t="s">
        <v>93</v>
      </c>
      <c r="C213" s="28" t="s">
        <v>101</v>
      </c>
      <c r="D213" s="67">
        <v>0.004</v>
      </c>
      <c r="E213" s="62">
        <v>0.004</v>
      </c>
      <c r="F213" s="62">
        <v>0.004</v>
      </c>
      <c r="G213" s="62">
        <v>0.004</v>
      </c>
      <c r="H213" s="62">
        <v>0.004</v>
      </c>
      <c r="I213" s="62">
        <v>0.004</v>
      </c>
      <c r="J213" s="62">
        <v>0.004</v>
      </c>
      <c r="K213" s="62">
        <v>0.004</v>
      </c>
      <c r="L213" s="62">
        <v>0.004</v>
      </c>
    </row>
    <row r="214" spans="2:12" ht="18">
      <c r="B214" s="3" t="s">
        <v>94</v>
      </c>
      <c r="C214" s="28" t="s">
        <v>101</v>
      </c>
      <c r="D214" s="67">
        <v>0.276</v>
      </c>
      <c r="E214" s="62">
        <v>0.278</v>
      </c>
      <c r="F214" s="62">
        <v>0.28</v>
      </c>
      <c r="G214" s="62">
        <v>0.28</v>
      </c>
      <c r="H214" s="62">
        <v>2.28</v>
      </c>
      <c r="I214" s="62">
        <v>0.282</v>
      </c>
      <c r="J214" s="62">
        <v>0.282</v>
      </c>
      <c r="K214" s="62">
        <v>0.284</v>
      </c>
      <c r="L214" s="62">
        <v>0.284</v>
      </c>
    </row>
    <row r="215" spans="2:12" ht="18">
      <c r="B215" s="3" t="s">
        <v>95</v>
      </c>
      <c r="C215" s="28" t="s">
        <v>101</v>
      </c>
      <c r="D215" s="67">
        <v>0.008</v>
      </c>
      <c r="E215" s="62">
        <v>0.008</v>
      </c>
      <c r="F215" s="62">
        <v>0.008</v>
      </c>
      <c r="G215" s="62">
        <v>0.008</v>
      </c>
      <c r="H215" s="62">
        <v>0.008</v>
      </c>
      <c r="I215" s="62">
        <v>0.008</v>
      </c>
      <c r="J215" s="62">
        <v>0.008</v>
      </c>
      <c r="K215" s="62">
        <v>0.008</v>
      </c>
      <c r="L215" s="62">
        <v>0.008</v>
      </c>
    </row>
    <row r="216" spans="2:12" ht="18">
      <c r="B216" s="3" t="s">
        <v>96</v>
      </c>
      <c r="C216" s="28" t="s">
        <v>101</v>
      </c>
      <c r="D216" s="67">
        <v>0.214</v>
      </c>
      <c r="E216" s="62">
        <v>0.216</v>
      </c>
      <c r="F216" s="62">
        <v>0.218</v>
      </c>
      <c r="G216" s="62">
        <v>0.218</v>
      </c>
      <c r="H216" s="62">
        <v>0.218</v>
      </c>
      <c r="I216" s="62">
        <v>0.22</v>
      </c>
      <c r="J216" s="62">
        <v>0.22</v>
      </c>
      <c r="K216" s="62">
        <v>0.222</v>
      </c>
      <c r="L216" s="62">
        <v>0.222</v>
      </c>
    </row>
    <row r="217" spans="2:12" ht="36">
      <c r="B217" s="3" t="s">
        <v>97</v>
      </c>
      <c r="C217" s="28" t="s">
        <v>101</v>
      </c>
      <c r="D217" s="67">
        <v>1.63</v>
      </c>
      <c r="E217" s="62">
        <v>1.64</v>
      </c>
      <c r="F217" s="62">
        <v>1.65</v>
      </c>
      <c r="G217" s="62">
        <v>1.65</v>
      </c>
      <c r="H217" s="62">
        <v>1.65</v>
      </c>
      <c r="I217" s="62">
        <v>1.66</v>
      </c>
      <c r="J217" s="62">
        <v>1.66</v>
      </c>
      <c r="K217" s="62">
        <v>1.67</v>
      </c>
      <c r="L217" s="62">
        <v>1.67</v>
      </c>
    </row>
    <row r="218" spans="2:12" ht="18">
      <c r="B218" s="3" t="s">
        <v>98</v>
      </c>
      <c r="C218" s="28" t="s">
        <v>101</v>
      </c>
      <c r="D218" s="67">
        <v>0.716</v>
      </c>
      <c r="E218" s="62">
        <v>0.716</v>
      </c>
      <c r="F218" s="62">
        <v>0.724</v>
      </c>
      <c r="G218" s="62">
        <v>0.724</v>
      </c>
      <c r="H218" s="62">
        <v>0.724</v>
      </c>
      <c r="I218" s="62">
        <v>0.728</v>
      </c>
      <c r="J218" s="62">
        <v>0.728</v>
      </c>
      <c r="K218" s="62">
        <v>0.728</v>
      </c>
      <c r="L218" s="62">
        <v>0.728</v>
      </c>
    </row>
    <row r="219" spans="2:12" ht="36">
      <c r="B219" s="3" t="s">
        <v>102</v>
      </c>
      <c r="C219" s="28" t="s">
        <v>101</v>
      </c>
      <c r="D219" s="67">
        <v>0.326</v>
      </c>
      <c r="E219" s="62">
        <v>0.334</v>
      </c>
      <c r="F219" s="62">
        <v>0.336</v>
      </c>
      <c r="G219" s="62">
        <v>0.336</v>
      </c>
      <c r="H219" s="62">
        <v>0.336</v>
      </c>
      <c r="I219" s="62">
        <v>0.34</v>
      </c>
      <c r="J219" s="62">
        <v>0.34</v>
      </c>
      <c r="K219" s="62">
        <v>0.342</v>
      </c>
      <c r="L219" s="62">
        <v>0.342</v>
      </c>
    </row>
    <row r="220" spans="2:12" ht="18">
      <c r="B220" s="3" t="s">
        <v>103</v>
      </c>
      <c r="C220" s="28" t="s">
        <v>101</v>
      </c>
      <c r="D220" s="79" t="s">
        <v>335</v>
      </c>
      <c r="E220" s="80" t="s">
        <v>335</v>
      </c>
      <c r="F220" s="80" t="s">
        <v>335</v>
      </c>
      <c r="G220" s="80" t="s">
        <v>335</v>
      </c>
      <c r="H220" s="80" t="s">
        <v>335</v>
      </c>
      <c r="I220" s="80" t="s">
        <v>335</v>
      </c>
      <c r="J220" s="80" t="s">
        <v>335</v>
      </c>
      <c r="K220" s="80" t="s">
        <v>335</v>
      </c>
      <c r="L220" s="80" t="s">
        <v>335</v>
      </c>
    </row>
    <row r="221" spans="2:12" ht="18">
      <c r="B221" s="3" t="s">
        <v>348</v>
      </c>
      <c r="C221" s="17" t="s">
        <v>104</v>
      </c>
      <c r="D221" s="60">
        <v>5.1</v>
      </c>
      <c r="E221" s="62">
        <v>6</v>
      </c>
      <c r="F221" s="62">
        <v>6.2</v>
      </c>
      <c r="G221" s="62">
        <v>6.4</v>
      </c>
      <c r="H221" s="62">
        <v>6.5</v>
      </c>
      <c r="I221" s="62">
        <v>6.6</v>
      </c>
      <c r="J221" s="62">
        <v>6.7</v>
      </c>
      <c r="K221" s="62">
        <v>6.8</v>
      </c>
      <c r="L221" s="62">
        <v>6.9</v>
      </c>
    </row>
    <row r="222" spans="2:12" ht="18">
      <c r="B222" s="3" t="s">
        <v>105</v>
      </c>
      <c r="C222" s="17"/>
      <c r="D222" s="81"/>
      <c r="E222" s="80"/>
      <c r="F222" s="80"/>
      <c r="G222" s="80"/>
      <c r="H222" s="80"/>
      <c r="I222" s="80"/>
      <c r="J222" s="80"/>
      <c r="K222" s="80"/>
      <c r="L222" s="80"/>
    </row>
    <row r="223" spans="2:12" ht="18">
      <c r="B223" s="3" t="s">
        <v>93</v>
      </c>
      <c r="C223" s="17" t="s">
        <v>104</v>
      </c>
      <c r="D223" s="81" t="s">
        <v>335</v>
      </c>
      <c r="E223" s="80" t="s">
        <v>335</v>
      </c>
      <c r="F223" s="80" t="s">
        <v>335</v>
      </c>
      <c r="G223" s="80" t="s">
        <v>335</v>
      </c>
      <c r="H223" s="80" t="s">
        <v>335</v>
      </c>
      <c r="I223" s="80" t="s">
        <v>335</v>
      </c>
      <c r="J223" s="80" t="s">
        <v>335</v>
      </c>
      <c r="K223" s="80" t="s">
        <v>335</v>
      </c>
      <c r="L223" s="80" t="s">
        <v>335</v>
      </c>
    </row>
    <row r="224" spans="2:12" ht="18">
      <c r="B224" s="3" t="s">
        <v>94</v>
      </c>
      <c r="C224" s="17" t="s">
        <v>104</v>
      </c>
      <c r="D224" s="60">
        <v>0.08</v>
      </c>
      <c r="E224" s="62">
        <v>0.085</v>
      </c>
      <c r="F224" s="62">
        <v>0.092</v>
      </c>
      <c r="G224" s="62">
        <v>0.092</v>
      </c>
      <c r="H224" s="62">
        <v>0.092</v>
      </c>
      <c r="I224" s="62">
        <v>0.094</v>
      </c>
      <c r="J224" s="62">
        <v>0.094</v>
      </c>
      <c r="K224" s="62">
        <v>0.098</v>
      </c>
      <c r="L224" s="62">
        <v>0.098</v>
      </c>
    </row>
    <row r="225" spans="2:12" ht="18">
      <c r="B225" s="3" t="s">
        <v>95</v>
      </c>
      <c r="C225" s="17" t="s">
        <v>104</v>
      </c>
      <c r="D225" s="60">
        <v>0.061</v>
      </c>
      <c r="E225" s="62">
        <v>0.064</v>
      </c>
      <c r="F225" s="62">
        <v>0.067</v>
      </c>
      <c r="G225" s="62">
        <v>0.067</v>
      </c>
      <c r="H225" s="62">
        <v>0.067</v>
      </c>
      <c r="I225" s="62">
        <v>0.069</v>
      </c>
      <c r="J225" s="62">
        <v>0.069</v>
      </c>
      <c r="K225" s="62">
        <v>0.072</v>
      </c>
      <c r="L225" s="62">
        <v>0.072</v>
      </c>
    </row>
    <row r="226" spans="2:12" ht="18">
      <c r="B226" s="3" t="s">
        <v>96</v>
      </c>
      <c r="C226" s="17" t="s">
        <v>104</v>
      </c>
      <c r="D226" s="60">
        <v>0.23</v>
      </c>
      <c r="E226" s="62">
        <v>0.245</v>
      </c>
      <c r="F226" s="62">
        <v>0.26</v>
      </c>
      <c r="G226" s="62">
        <v>0.26</v>
      </c>
      <c r="H226" s="62">
        <v>0.26</v>
      </c>
      <c r="I226" s="62">
        <v>0.28</v>
      </c>
      <c r="J226" s="62">
        <v>0.28</v>
      </c>
      <c r="K226" s="62">
        <v>0.292</v>
      </c>
      <c r="L226" s="62">
        <v>0.292</v>
      </c>
    </row>
    <row r="227" spans="2:12" ht="36">
      <c r="B227" s="3" t="s">
        <v>97</v>
      </c>
      <c r="C227" s="17" t="s">
        <v>104</v>
      </c>
      <c r="D227" s="60">
        <v>4</v>
      </c>
      <c r="E227" s="62">
        <v>4.05</v>
      </c>
      <c r="F227" s="62">
        <v>4.4</v>
      </c>
      <c r="G227" s="62">
        <v>4.5</v>
      </c>
      <c r="H227" s="62">
        <v>4.6</v>
      </c>
      <c r="I227" s="62">
        <v>4.8</v>
      </c>
      <c r="J227" s="62">
        <v>4.9</v>
      </c>
      <c r="K227" s="62">
        <v>5</v>
      </c>
      <c r="L227" s="62">
        <v>5.1</v>
      </c>
    </row>
    <row r="228" spans="2:12" ht="18">
      <c r="B228" s="3" t="s">
        <v>98</v>
      </c>
      <c r="C228" s="17" t="s">
        <v>104</v>
      </c>
      <c r="D228" s="60">
        <v>0.215</v>
      </c>
      <c r="E228" s="62">
        <v>0.23</v>
      </c>
      <c r="F228" s="62">
        <v>0.242</v>
      </c>
      <c r="G228" s="62">
        <v>0.242</v>
      </c>
      <c r="H228" s="62">
        <v>0.242</v>
      </c>
      <c r="I228" s="62">
        <v>0.251</v>
      </c>
      <c r="J228" s="62">
        <v>0.251</v>
      </c>
      <c r="K228" s="62">
        <v>0.264</v>
      </c>
      <c r="L228" s="62">
        <v>0.264</v>
      </c>
    </row>
    <row r="229" spans="2:12" ht="36">
      <c r="B229" s="3" t="s">
        <v>99</v>
      </c>
      <c r="C229" s="17" t="s">
        <v>104</v>
      </c>
      <c r="D229" s="60">
        <v>0.144</v>
      </c>
      <c r="E229" s="62">
        <v>0.155</v>
      </c>
      <c r="F229" s="62">
        <v>0.167</v>
      </c>
      <c r="G229" s="62">
        <v>0.167</v>
      </c>
      <c r="H229" s="62">
        <v>0.167</v>
      </c>
      <c r="I229" s="62">
        <v>0.174</v>
      </c>
      <c r="J229" s="62">
        <v>0.174</v>
      </c>
      <c r="K229" s="62">
        <v>0.181</v>
      </c>
      <c r="L229" s="62">
        <v>0.181</v>
      </c>
    </row>
    <row r="230" spans="2:12" ht="18">
      <c r="B230" s="3" t="s">
        <v>41</v>
      </c>
      <c r="C230" s="17"/>
      <c r="D230" s="81" t="s">
        <v>335</v>
      </c>
      <c r="E230" s="80"/>
      <c r="F230" s="80"/>
      <c r="G230" s="80"/>
      <c r="H230" s="80"/>
      <c r="I230" s="80"/>
      <c r="J230" s="80"/>
      <c r="K230" s="80"/>
      <c r="L230" s="80"/>
    </row>
    <row r="231" spans="2:12" ht="18">
      <c r="B231" s="3" t="s">
        <v>106</v>
      </c>
      <c r="C231" s="17" t="s">
        <v>104</v>
      </c>
      <c r="D231" s="81" t="s">
        <v>335</v>
      </c>
      <c r="E231" s="80" t="s">
        <v>335</v>
      </c>
      <c r="F231" s="80" t="s">
        <v>335</v>
      </c>
      <c r="G231" s="80" t="s">
        <v>335</v>
      </c>
      <c r="H231" s="80" t="s">
        <v>335</v>
      </c>
      <c r="I231" s="80" t="s">
        <v>335</v>
      </c>
      <c r="J231" s="80" t="s">
        <v>335</v>
      </c>
      <c r="K231" s="80" t="s">
        <v>335</v>
      </c>
      <c r="L231" s="80" t="s">
        <v>335</v>
      </c>
    </row>
    <row r="232" spans="2:12" ht="15">
      <c r="B232" s="86" t="s">
        <v>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8"/>
    </row>
    <row r="233" spans="2:12" ht="18">
      <c r="B233" s="4" t="s">
        <v>107</v>
      </c>
      <c r="C233" s="7" t="s">
        <v>75</v>
      </c>
      <c r="D233" s="6">
        <v>7643.88576</v>
      </c>
      <c r="E233" s="6">
        <f>D233*E237*E238/10000</f>
        <v>15610.551264000002</v>
      </c>
      <c r="F233" s="6">
        <f>E233*F237*F238/10000</f>
        <v>26541.86976</v>
      </c>
      <c r="G233" s="6">
        <f>F233*G237*G238/10000</f>
        <v>18131.631840000005</v>
      </c>
      <c r="H233" s="6">
        <f>F233*H237*H238/10000</f>
        <v>18393.705792000004</v>
      </c>
      <c r="I233" s="6">
        <f>G233*I237*I238/10000</f>
        <v>18911.027519999996</v>
      </c>
      <c r="J233" s="6">
        <f>H233*J237*J238/10000</f>
        <v>19256.95296000001</v>
      </c>
      <c r="K233" s="6">
        <f>I233*K237*K238/10000</f>
        <v>21428.618400000003</v>
      </c>
      <c r="L233" s="6">
        <f>J233*L237*L238/10000</f>
        <v>21972.53520000001</v>
      </c>
    </row>
    <row r="234" spans="2:12" ht="30.75">
      <c r="B234" s="4" t="s">
        <v>108</v>
      </c>
      <c r="C234" s="7" t="s">
        <v>77</v>
      </c>
      <c r="D234" s="6">
        <v>109.79</v>
      </c>
      <c r="E234" s="6">
        <f>E233/D233/1.033*100</f>
        <v>197.6986622011697</v>
      </c>
      <c r="F234" s="6">
        <f>F233/E233/1.101*100</f>
        <v>154.42796730900122</v>
      </c>
      <c r="G234" s="6">
        <f>G233/F233/1.073*100</f>
        <v>63.665720226442744</v>
      </c>
      <c r="H234" s="6">
        <f>H233/F233/1.073*100</f>
        <v>64.58594224804045</v>
      </c>
      <c r="I234" s="6">
        <f>I233/G233/1.065*100</f>
        <v>97.93290261353921</v>
      </c>
      <c r="J234" s="6">
        <f>J233/H233/1.065*100</f>
        <v>98.3034423639377</v>
      </c>
      <c r="K234" s="6">
        <f>K233/I233/1.062*100</f>
        <v>106.69756975564393</v>
      </c>
      <c r="L234" s="6">
        <f>L233/J233/1.062*100</f>
        <v>107.44051530115708</v>
      </c>
    </row>
    <row r="235" spans="2:12" ht="18">
      <c r="B235" s="3" t="s">
        <v>109</v>
      </c>
      <c r="C235" s="7" t="s">
        <v>279</v>
      </c>
      <c r="D235" s="7">
        <v>105.6</v>
      </c>
      <c r="E235" s="6">
        <v>103.3</v>
      </c>
      <c r="F235" s="6">
        <v>110.1</v>
      </c>
      <c r="G235" s="6">
        <v>107.3</v>
      </c>
      <c r="H235" s="6">
        <v>107.3</v>
      </c>
      <c r="I235" s="6">
        <v>106.5</v>
      </c>
      <c r="J235" s="6">
        <v>106.5</v>
      </c>
      <c r="K235" s="6">
        <v>106.2</v>
      </c>
      <c r="L235" s="6">
        <v>106.2</v>
      </c>
    </row>
    <row r="236" spans="2:12" ht="72">
      <c r="B236" s="3" t="s">
        <v>110</v>
      </c>
      <c r="C236" s="7" t="s">
        <v>291</v>
      </c>
      <c r="D236" s="6">
        <v>7583.22</v>
      </c>
      <c r="E236" s="6">
        <f>E240+E244+E250+E280+E282+E284+E286+E288+E290+E292+E294+E296+E298+E300</f>
        <v>15486.658</v>
      </c>
      <c r="F236" s="6">
        <f>F240+F244+F250+F280+F282+F284+F286+F288+F290+F292+F294+F296+F298+F300</f>
        <v>26331.219999999998</v>
      </c>
      <c r="G236" s="6">
        <f aca="true" t="shared" si="4" ref="G236:L236">G240+G244+G250+G280+G282+G284+G286+G288+G290+G292+G294+G296+G298+G300</f>
        <v>17987.730000000003</v>
      </c>
      <c r="H236" s="6">
        <f t="shared" si="4"/>
        <v>18247.724000000002</v>
      </c>
      <c r="I236" s="6">
        <f t="shared" si="4"/>
        <v>18760.939999999995</v>
      </c>
      <c r="J236" s="6">
        <f t="shared" si="4"/>
        <v>19104.120000000003</v>
      </c>
      <c r="K236" s="6">
        <f t="shared" si="4"/>
        <v>21258.550000000003</v>
      </c>
      <c r="L236" s="6">
        <f t="shared" si="4"/>
        <v>21798.15</v>
      </c>
    </row>
    <row r="237" spans="2:12" ht="30.75">
      <c r="B237" s="3" t="s">
        <v>111</v>
      </c>
      <c r="C237" s="7" t="s">
        <v>77</v>
      </c>
      <c r="D237" s="6">
        <v>109.79723507684722</v>
      </c>
      <c r="E237" s="6">
        <f>E236/D236/1.033*100</f>
        <v>197.6986622011697</v>
      </c>
      <c r="F237" s="6">
        <f>F236/E236/1.101*100</f>
        <v>154.42796730900122</v>
      </c>
      <c r="G237" s="6">
        <f>G236/F236/1.073*100</f>
        <v>63.66572022644276</v>
      </c>
      <c r="H237" s="6">
        <f>H236/F236/1.073*100</f>
        <v>64.58594224804045</v>
      </c>
      <c r="I237" s="6">
        <f>I236/G236/1.065*100</f>
        <v>97.93290261353921</v>
      </c>
      <c r="J237" s="6">
        <f>J236/H236/1.065*100</f>
        <v>98.30344236393769</v>
      </c>
      <c r="K237" s="6">
        <f>K236/I236/1.062*100</f>
        <v>106.69756975564395</v>
      </c>
      <c r="L237" s="6">
        <f>L236/J236/1.062*100</f>
        <v>107.44051530115708</v>
      </c>
    </row>
    <row r="238" spans="2:12" ht="18">
      <c r="B238" s="3" t="s">
        <v>109</v>
      </c>
      <c r="C238" s="7" t="s">
        <v>279</v>
      </c>
      <c r="D238" s="7">
        <v>105.6</v>
      </c>
      <c r="E238" s="6">
        <v>103.3</v>
      </c>
      <c r="F238" s="6">
        <v>110.1</v>
      </c>
      <c r="G238" s="6">
        <v>107.3</v>
      </c>
      <c r="H238" s="6">
        <v>107.3</v>
      </c>
      <c r="I238" s="6">
        <v>106.5</v>
      </c>
      <c r="J238" s="6">
        <v>106.5</v>
      </c>
      <c r="K238" s="6">
        <v>106.2</v>
      </c>
      <c r="L238" s="6">
        <v>106.2</v>
      </c>
    </row>
    <row r="239" spans="2:12" ht="87">
      <c r="B239" s="2" t="s">
        <v>112</v>
      </c>
      <c r="C239" s="23"/>
      <c r="D239" s="23"/>
      <c r="E239" s="6"/>
      <c r="F239" s="6"/>
      <c r="G239" s="6"/>
      <c r="H239" s="6"/>
      <c r="I239" s="6"/>
      <c r="J239" s="6"/>
      <c r="K239" s="6"/>
      <c r="L239" s="6"/>
    </row>
    <row r="240" spans="2:12" ht="30.75">
      <c r="B240" s="4" t="s">
        <v>113</v>
      </c>
      <c r="C240" s="23" t="s">
        <v>114</v>
      </c>
      <c r="D240" s="6">
        <v>18.67</v>
      </c>
      <c r="E240" s="6">
        <v>21.13</v>
      </c>
      <c r="F240" s="6">
        <v>21</v>
      </c>
      <c r="G240" s="6">
        <v>21.5</v>
      </c>
      <c r="H240" s="6">
        <v>22</v>
      </c>
      <c r="I240" s="6">
        <v>22.3</v>
      </c>
      <c r="J240" s="6">
        <v>23</v>
      </c>
      <c r="K240" s="6">
        <v>23.4</v>
      </c>
      <c r="L240" s="6">
        <v>24.2</v>
      </c>
    </row>
    <row r="241" spans="2:12" ht="30.75">
      <c r="B241" s="4" t="s">
        <v>111</v>
      </c>
      <c r="C241" s="23" t="s">
        <v>77</v>
      </c>
      <c r="D241" s="6">
        <v>59.149964009448794</v>
      </c>
      <c r="E241" s="6">
        <f>E240/D240/1.033*100</f>
        <v>109.56071493940458</v>
      </c>
      <c r="F241" s="6">
        <f>F240/E240/1.101*100</f>
        <v>90.2677211655884</v>
      </c>
      <c r="G241" s="6">
        <f>G240/F240/1.073*100</f>
        <v>95.41561265699197</v>
      </c>
      <c r="H241" s="6">
        <f>H240/F240/1.073*100</f>
        <v>97.63458039320109</v>
      </c>
      <c r="I241" s="6">
        <f>I240/G240/1.065*100</f>
        <v>97.39054481930344</v>
      </c>
      <c r="J241" s="6">
        <f>J240/H240/1.065*100</f>
        <v>98.16474605207</v>
      </c>
      <c r="K241" s="6">
        <f>K240/I240/1.062*100</f>
        <v>98.80671885688226</v>
      </c>
      <c r="L241" s="6">
        <f>L240/J240/1.062*100</f>
        <v>99.07475640710717</v>
      </c>
    </row>
    <row r="242" spans="2:12" ht="30.75">
      <c r="B242" s="4" t="s">
        <v>115</v>
      </c>
      <c r="C242" s="23" t="s">
        <v>114</v>
      </c>
      <c r="D242" s="22" t="s">
        <v>335</v>
      </c>
      <c r="E242" s="22" t="s">
        <v>335</v>
      </c>
      <c r="F242" s="22" t="s">
        <v>335</v>
      </c>
      <c r="G242" s="22" t="s">
        <v>335</v>
      </c>
      <c r="H242" s="22" t="s">
        <v>335</v>
      </c>
      <c r="I242" s="22" t="s">
        <v>335</v>
      </c>
      <c r="J242" s="22" t="s">
        <v>335</v>
      </c>
      <c r="K242" s="22" t="s">
        <v>335</v>
      </c>
      <c r="L242" s="22" t="s">
        <v>335</v>
      </c>
    </row>
    <row r="243" spans="2:12" ht="30.75">
      <c r="B243" s="4" t="s">
        <v>111</v>
      </c>
      <c r="C243" s="23" t="s">
        <v>77</v>
      </c>
      <c r="D243" s="22" t="s">
        <v>335</v>
      </c>
      <c r="E243" s="22" t="s">
        <v>335</v>
      </c>
      <c r="F243" s="22" t="s">
        <v>335</v>
      </c>
      <c r="G243" s="22" t="s">
        <v>335</v>
      </c>
      <c r="H243" s="22" t="s">
        <v>335</v>
      </c>
      <c r="I243" s="22" t="s">
        <v>335</v>
      </c>
      <c r="J243" s="22" t="s">
        <v>335</v>
      </c>
      <c r="K243" s="22" t="s">
        <v>335</v>
      </c>
      <c r="L243" s="22" t="s">
        <v>335</v>
      </c>
    </row>
    <row r="244" spans="2:12" ht="30.75">
      <c r="B244" s="4" t="s">
        <v>116</v>
      </c>
      <c r="C244" s="23" t="s">
        <v>114</v>
      </c>
      <c r="D244" s="6">
        <v>3440.91</v>
      </c>
      <c r="E244" s="6">
        <v>11007.89</v>
      </c>
      <c r="F244" s="6">
        <v>21815</v>
      </c>
      <c r="G244" s="6">
        <v>13993</v>
      </c>
      <c r="H244" s="6">
        <v>14150</v>
      </c>
      <c r="I244" s="6">
        <v>14647</v>
      </c>
      <c r="J244" s="6">
        <v>14860</v>
      </c>
      <c r="K244" s="6">
        <v>16849</v>
      </c>
      <c r="L244" s="6">
        <v>17120</v>
      </c>
    </row>
    <row r="245" spans="2:12" ht="30.75">
      <c r="B245" s="4" t="s">
        <v>111</v>
      </c>
      <c r="C245" s="23" t="s">
        <v>77</v>
      </c>
      <c r="D245" s="6">
        <v>174.91961112721575</v>
      </c>
      <c r="E245" s="6">
        <f>E244/D244/1.033*100</f>
        <v>309.69232758540824</v>
      </c>
      <c r="F245" s="6">
        <f>F244/E244/1.101*100</f>
        <v>179.9963992304095</v>
      </c>
      <c r="G245" s="6">
        <f>G244/F244/1.073*100</f>
        <v>59.779997816938554</v>
      </c>
      <c r="H245" s="6">
        <f>H244/F244/1.073*100</f>
        <v>60.45072315512618</v>
      </c>
      <c r="I245" s="6">
        <f>I244/G244/1.065*100</f>
        <v>98.28522577854991</v>
      </c>
      <c r="J245" s="6">
        <f>J244/H244/1.065*100</f>
        <v>98.60813882114834</v>
      </c>
      <c r="K245" s="6">
        <f>K244/I244/1.062*100</f>
        <v>108.31807468592001</v>
      </c>
      <c r="L245" s="6">
        <f>L244/J244/1.062*100</f>
        <v>108.48268712629867</v>
      </c>
    </row>
    <row r="246" spans="2:12" ht="36">
      <c r="B246" s="3" t="s">
        <v>117</v>
      </c>
      <c r="C246" s="7" t="s">
        <v>291</v>
      </c>
      <c r="D246" s="6">
        <v>3440.91</v>
      </c>
      <c r="E246" s="6">
        <v>11007.89</v>
      </c>
      <c r="F246" s="6">
        <v>21815</v>
      </c>
      <c r="G246" s="6">
        <v>13993</v>
      </c>
      <c r="H246" s="6">
        <v>14150</v>
      </c>
      <c r="I246" s="6">
        <v>14647</v>
      </c>
      <c r="J246" s="6">
        <v>14860</v>
      </c>
      <c r="K246" s="6">
        <v>16849</v>
      </c>
      <c r="L246" s="6">
        <v>17120</v>
      </c>
    </row>
    <row r="247" spans="2:12" ht="30.75">
      <c r="B247" s="3" t="s">
        <v>111</v>
      </c>
      <c r="C247" s="7" t="s">
        <v>77</v>
      </c>
      <c r="D247" s="53">
        <v>174.95</v>
      </c>
      <c r="E247" s="6">
        <f>E246/D246/1.033*100</f>
        <v>309.69232758540824</v>
      </c>
      <c r="F247" s="6">
        <f>F246/E246/1.101*100</f>
        <v>179.9963992304095</v>
      </c>
      <c r="G247" s="6">
        <f>G246/F246/1.073*100</f>
        <v>59.779997816938554</v>
      </c>
      <c r="H247" s="6">
        <f>H246/F246/1.073*100</f>
        <v>60.45072315512618</v>
      </c>
      <c r="I247" s="6">
        <f>I246/G246/1.065*100</f>
        <v>98.28522577854991</v>
      </c>
      <c r="J247" s="6">
        <f>J246/H246/1.065*100</f>
        <v>98.60813882114834</v>
      </c>
      <c r="K247" s="6">
        <f>K246/I246/1.062*100</f>
        <v>108.31807468592001</v>
      </c>
      <c r="L247" s="6">
        <f>L246/J246/1.062*100</f>
        <v>108.48268712629867</v>
      </c>
    </row>
    <row r="248" spans="2:12" ht="36">
      <c r="B248" s="3" t="s">
        <v>118</v>
      </c>
      <c r="C248" s="7" t="s">
        <v>291</v>
      </c>
      <c r="D248" s="22" t="s">
        <v>335</v>
      </c>
      <c r="E248" s="22" t="s">
        <v>335</v>
      </c>
      <c r="F248" s="22" t="s">
        <v>335</v>
      </c>
      <c r="G248" s="22" t="s">
        <v>335</v>
      </c>
      <c r="H248" s="22" t="s">
        <v>335</v>
      </c>
      <c r="I248" s="22" t="s">
        <v>335</v>
      </c>
      <c r="J248" s="22" t="s">
        <v>335</v>
      </c>
      <c r="K248" s="22" t="s">
        <v>335</v>
      </c>
      <c r="L248" s="22" t="s">
        <v>335</v>
      </c>
    </row>
    <row r="249" spans="2:12" ht="30.75">
      <c r="B249" s="3" t="s">
        <v>111</v>
      </c>
      <c r="C249" s="7" t="s">
        <v>77</v>
      </c>
      <c r="D249" s="22" t="s">
        <v>335</v>
      </c>
      <c r="E249" s="22" t="s">
        <v>335</v>
      </c>
      <c r="F249" s="22" t="s">
        <v>335</v>
      </c>
      <c r="G249" s="22" t="s">
        <v>335</v>
      </c>
      <c r="H249" s="22" t="s">
        <v>335</v>
      </c>
      <c r="I249" s="22" t="s">
        <v>335</v>
      </c>
      <c r="J249" s="22" t="s">
        <v>335</v>
      </c>
      <c r="K249" s="22" t="s">
        <v>335</v>
      </c>
      <c r="L249" s="22" t="s">
        <v>335</v>
      </c>
    </row>
    <row r="250" spans="2:12" ht="30.75">
      <c r="B250" s="4" t="s">
        <v>119</v>
      </c>
      <c r="C250" s="23" t="s">
        <v>114</v>
      </c>
      <c r="D250" s="6">
        <v>9.4</v>
      </c>
      <c r="E250" s="6">
        <v>8.345</v>
      </c>
      <c r="F250" s="6">
        <v>9.5</v>
      </c>
      <c r="G250" s="6">
        <v>10.2</v>
      </c>
      <c r="H250" s="6">
        <v>10.5</v>
      </c>
      <c r="I250" s="6">
        <v>11.4</v>
      </c>
      <c r="J250" s="6">
        <v>11.8</v>
      </c>
      <c r="K250" s="6">
        <v>12.2</v>
      </c>
      <c r="L250" s="6">
        <v>12.7</v>
      </c>
    </row>
    <row r="251" spans="2:12" ht="30.75">
      <c r="B251" s="4" t="s">
        <v>111</v>
      </c>
      <c r="C251" s="23" t="s">
        <v>77</v>
      </c>
      <c r="D251" s="6">
        <v>247.26430976430981</v>
      </c>
      <c r="E251" s="6">
        <v>85.94</v>
      </c>
      <c r="F251" s="6">
        <v>103.33</v>
      </c>
      <c r="G251" s="6">
        <v>100.06</v>
      </c>
      <c r="H251" s="6">
        <v>103</v>
      </c>
      <c r="I251" s="6">
        <v>104.94</v>
      </c>
      <c r="J251" s="6">
        <v>105.52</v>
      </c>
      <c r="K251" s="6">
        <f>K250/I250/1.062*100</f>
        <v>100.76981531040406</v>
      </c>
      <c r="L251" s="6">
        <f>L250/J250/1.062*100</f>
        <v>101.34380286635383</v>
      </c>
    </row>
    <row r="252" spans="2:12" ht="36">
      <c r="B252" s="3" t="s">
        <v>120</v>
      </c>
      <c r="C252" s="7" t="s">
        <v>291</v>
      </c>
      <c r="D252" s="6">
        <v>0.15</v>
      </c>
      <c r="E252" s="6">
        <v>1.402</v>
      </c>
      <c r="F252" s="6">
        <v>1.2</v>
      </c>
      <c r="G252" s="6">
        <v>1.1</v>
      </c>
      <c r="H252" s="6">
        <v>1.2</v>
      </c>
      <c r="I252" s="6">
        <v>1.25</v>
      </c>
      <c r="J252" s="6">
        <v>1.38</v>
      </c>
      <c r="K252" s="6">
        <v>1.4</v>
      </c>
      <c r="L252" s="6">
        <v>1.55</v>
      </c>
    </row>
    <row r="253" spans="2:12" ht="30.75">
      <c r="B253" s="3" t="s">
        <v>111</v>
      </c>
      <c r="C253" s="7" t="s">
        <v>77</v>
      </c>
      <c r="D253" s="6">
        <v>5.727639296187683</v>
      </c>
      <c r="E253" s="6">
        <v>904.8</v>
      </c>
      <c r="F253" s="6">
        <f>F252/E252/1.101*100</f>
        <v>77.7402465143217</v>
      </c>
      <c r="G253" s="6">
        <f>G252/F252/1.073*100</f>
        <v>85.43025784405096</v>
      </c>
      <c r="H253" s="6">
        <f>H252/F252/1.073*100</f>
        <v>93.19664492078286</v>
      </c>
      <c r="I253" s="6">
        <f>I252/G252/1.065*100</f>
        <v>106.70081092616303</v>
      </c>
      <c r="J253" s="6">
        <f>J252/H252/1.065*100</f>
        <v>107.98122065727699</v>
      </c>
      <c r="K253" s="6">
        <f>K252/I252/1.062*100</f>
        <v>105.46139359698681</v>
      </c>
      <c r="L253" s="6">
        <f>L252/J252/1.062*100</f>
        <v>105.76162013155381</v>
      </c>
    </row>
    <row r="254" spans="2:12" ht="18">
      <c r="B254" s="3" t="s">
        <v>121</v>
      </c>
      <c r="C254" s="7" t="s">
        <v>291</v>
      </c>
      <c r="D254" s="22" t="s">
        <v>335</v>
      </c>
      <c r="E254" s="22" t="s">
        <v>335</v>
      </c>
      <c r="F254" s="22" t="s">
        <v>335</v>
      </c>
      <c r="G254" s="22" t="s">
        <v>335</v>
      </c>
      <c r="H254" s="22" t="s">
        <v>335</v>
      </c>
      <c r="I254" s="22" t="s">
        <v>335</v>
      </c>
      <c r="J254" s="22" t="s">
        <v>335</v>
      </c>
      <c r="K254" s="22" t="s">
        <v>335</v>
      </c>
      <c r="L254" s="22" t="s">
        <v>335</v>
      </c>
    </row>
    <row r="255" spans="2:12" ht="30.75">
      <c r="B255" s="3" t="s">
        <v>111</v>
      </c>
      <c r="C255" s="7" t="s">
        <v>77</v>
      </c>
      <c r="D255" s="22" t="s">
        <v>335</v>
      </c>
      <c r="E255" s="22" t="s">
        <v>335</v>
      </c>
      <c r="F255" s="22" t="s">
        <v>335</v>
      </c>
      <c r="G255" s="22" t="s">
        <v>335</v>
      </c>
      <c r="H255" s="22" t="s">
        <v>335</v>
      </c>
      <c r="I255" s="22" t="s">
        <v>335</v>
      </c>
      <c r="J255" s="22" t="s">
        <v>335</v>
      </c>
      <c r="K255" s="22" t="s">
        <v>335</v>
      </c>
      <c r="L255" s="22" t="s">
        <v>335</v>
      </c>
    </row>
    <row r="256" spans="2:12" ht="36">
      <c r="B256" s="3" t="s">
        <v>122</v>
      </c>
      <c r="C256" s="7" t="s">
        <v>291</v>
      </c>
      <c r="D256" s="22" t="s">
        <v>335</v>
      </c>
      <c r="E256" s="22" t="s">
        <v>335</v>
      </c>
      <c r="F256" s="22" t="s">
        <v>335</v>
      </c>
      <c r="G256" s="22" t="s">
        <v>335</v>
      </c>
      <c r="H256" s="22" t="s">
        <v>335</v>
      </c>
      <c r="I256" s="22" t="s">
        <v>335</v>
      </c>
      <c r="J256" s="22" t="s">
        <v>335</v>
      </c>
      <c r="K256" s="22" t="s">
        <v>335</v>
      </c>
      <c r="L256" s="22" t="s">
        <v>335</v>
      </c>
    </row>
    <row r="257" spans="2:12" ht="30.75">
      <c r="B257" s="3" t="s">
        <v>111</v>
      </c>
      <c r="C257" s="7" t="s">
        <v>77</v>
      </c>
      <c r="D257" s="22" t="s">
        <v>335</v>
      </c>
      <c r="E257" s="22" t="s">
        <v>335</v>
      </c>
      <c r="F257" s="22" t="s">
        <v>335</v>
      </c>
      <c r="G257" s="22" t="s">
        <v>335</v>
      </c>
      <c r="H257" s="22" t="s">
        <v>335</v>
      </c>
      <c r="I257" s="22" t="s">
        <v>335</v>
      </c>
      <c r="J257" s="22" t="s">
        <v>335</v>
      </c>
      <c r="K257" s="22" t="s">
        <v>335</v>
      </c>
      <c r="L257" s="22" t="s">
        <v>335</v>
      </c>
    </row>
    <row r="258" spans="2:12" ht="36">
      <c r="B258" s="3" t="s">
        <v>123</v>
      </c>
      <c r="C258" s="7" t="s">
        <v>291</v>
      </c>
      <c r="D258" s="22" t="s">
        <v>335</v>
      </c>
      <c r="E258" s="22" t="s">
        <v>335</v>
      </c>
      <c r="F258" s="22" t="s">
        <v>335</v>
      </c>
      <c r="G258" s="22" t="s">
        <v>335</v>
      </c>
      <c r="H258" s="22" t="s">
        <v>335</v>
      </c>
      <c r="I258" s="22" t="s">
        <v>335</v>
      </c>
      <c r="J258" s="22" t="s">
        <v>335</v>
      </c>
      <c r="K258" s="22" t="s">
        <v>335</v>
      </c>
      <c r="L258" s="22" t="s">
        <v>335</v>
      </c>
    </row>
    <row r="259" spans="2:12" ht="30.75">
      <c r="B259" s="3" t="s">
        <v>111</v>
      </c>
      <c r="C259" s="7" t="s">
        <v>77</v>
      </c>
      <c r="D259" s="22" t="s">
        <v>335</v>
      </c>
      <c r="E259" s="22" t="s">
        <v>335</v>
      </c>
      <c r="F259" s="22" t="s">
        <v>335</v>
      </c>
      <c r="G259" s="22" t="s">
        <v>335</v>
      </c>
      <c r="H259" s="22" t="s">
        <v>335</v>
      </c>
      <c r="I259" s="22" t="s">
        <v>335</v>
      </c>
      <c r="J259" s="22" t="s">
        <v>335</v>
      </c>
      <c r="K259" s="22" t="s">
        <v>335</v>
      </c>
      <c r="L259" s="22" t="s">
        <v>335</v>
      </c>
    </row>
    <row r="260" spans="2:12" ht="36">
      <c r="B260" s="3" t="s">
        <v>124</v>
      </c>
      <c r="C260" s="7" t="s">
        <v>291</v>
      </c>
      <c r="D260" s="7">
        <v>0.4</v>
      </c>
      <c r="E260" s="6">
        <v>0.25</v>
      </c>
      <c r="F260" s="6">
        <v>0.27</v>
      </c>
      <c r="G260" s="6">
        <v>0.32</v>
      </c>
      <c r="H260" s="6">
        <v>0.34</v>
      </c>
      <c r="I260" s="6">
        <v>0.33</v>
      </c>
      <c r="J260" s="6">
        <v>0.36</v>
      </c>
      <c r="K260" s="6">
        <v>0.34</v>
      </c>
      <c r="L260" s="6">
        <v>0.38</v>
      </c>
    </row>
    <row r="261" spans="2:12" ht="30.75">
      <c r="B261" s="3" t="s">
        <v>111</v>
      </c>
      <c r="C261" s="7" t="s">
        <v>77</v>
      </c>
      <c r="D261" s="22" t="s">
        <v>335</v>
      </c>
      <c r="E261" s="6">
        <f>E260/D260/1.033*100</f>
        <v>60.50338818973863</v>
      </c>
      <c r="F261" s="6">
        <f>F260/E260/1.101*100</f>
        <v>98.09264305177112</v>
      </c>
      <c r="G261" s="6">
        <f>G260/F260/1.073*100</f>
        <v>110.45528286907597</v>
      </c>
      <c r="H261" s="6">
        <f>H260/F260/1.073*100</f>
        <v>117.35873804839323</v>
      </c>
      <c r="I261" s="6">
        <f>I260/G260/1.065*100</f>
        <v>96.83098591549296</v>
      </c>
      <c r="J261" s="6">
        <f>J260/H260/1.065*100</f>
        <v>99.42004971002484</v>
      </c>
      <c r="K261" s="6">
        <f>K260/I260/1.062*100</f>
        <v>97.01535125263938</v>
      </c>
      <c r="L261" s="6">
        <f>L260/J260/1.062*100</f>
        <v>99.39317848922369</v>
      </c>
    </row>
    <row r="262" spans="2:12" ht="18">
      <c r="B262" s="3" t="s">
        <v>125</v>
      </c>
      <c r="C262" s="7" t="s">
        <v>291</v>
      </c>
      <c r="D262" s="22" t="s">
        <v>335</v>
      </c>
      <c r="E262" s="22" t="s">
        <v>335</v>
      </c>
      <c r="F262" s="22" t="s">
        <v>335</v>
      </c>
      <c r="G262" s="22" t="s">
        <v>335</v>
      </c>
      <c r="H262" s="22" t="s">
        <v>335</v>
      </c>
      <c r="I262" s="22" t="s">
        <v>335</v>
      </c>
      <c r="J262" s="22" t="s">
        <v>335</v>
      </c>
      <c r="K262" s="22" t="s">
        <v>335</v>
      </c>
      <c r="L262" s="22" t="s">
        <v>335</v>
      </c>
    </row>
    <row r="263" spans="2:12" ht="30.75">
      <c r="B263" s="3" t="s">
        <v>111</v>
      </c>
      <c r="C263" s="7" t="s">
        <v>77</v>
      </c>
      <c r="D263" s="22" t="s">
        <v>335</v>
      </c>
      <c r="E263" s="22" t="s">
        <v>335</v>
      </c>
      <c r="F263" s="22" t="s">
        <v>335</v>
      </c>
      <c r="G263" s="22" t="s">
        <v>335</v>
      </c>
      <c r="H263" s="22" t="s">
        <v>335</v>
      </c>
      <c r="I263" s="22" t="s">
        <v>335</v>
      </c>
      <c r="J263" s="22" t="s">
        <v>335</v>
      </c>
      <c r="K263" s="22" t="s">
        <v>335</v>
      </c>
      <c r="L263" s="22" t="s">
        <v>335</v>
      </c>
    </row>
    <row r="264" spans="2:12" ht="18">
      <c r="B264" s="3" t="s">
        <v>126</v>
      </c>
      <c r="C264" s="7" t="s">
        <v>291</v>
      </c>
      <c r="D264" s="22" t="s">
        <v>335</v>
      </c>
      <c r="E264" s="22" t="s">
        <v>335</v>
      </c>
      <c r="F264" s="22" t="s">
        <v>335</v>
      </c>
      <c r="G264" s="22" t="s">
        <v>335</v>
      </c>
      <c r="H264" s="22" t="s">
        <v>335</v>
      </c>
      <c r="I264" s="22" t="s">
        <v>335</v>
      </c>
      <c r="J264" s="22" t="s">
        <v>335</v>
      </c>
      <c r="K264" s="22" t="s">
        <v>335</v>
      </c>
      <c r="L264" s="22" t="s">
        <v>335</v>
      </c>
    </row>
    <row r="265" spans="2:12" ht="30.75">
      <c r="B265" s="3" t="s">
        <v>111</v>
      </c>
      <c r="C265" s="7" t="s">
        <v>77</v>
      </c>
      <c r="D265" s="22" t="s">
        <v>335</v>
      </c>
      <c r="E265" s="22" t="s">
        <v>335</v>
      </c>
      <c r="F265" s="22" t="s">
        <v>335</v>
      </c>
      <c r="G265" s="22" t="s">
        <v>335</v>
      </c>
      <c r="H265" s="22" t="s">
        <v>335</v>
      </c>
      <c r="I265" s="22" t="s">
        <v>335</v>
      </c>
      <c r="J265" s="22" t="s">
        <v>335</v>
      </c>
      <c r="K265" s="22" t="s">
        <v>335</v>
      </c>
      <c r="L265" s="22" t="s">
        <v>335</v>
      </c>
    </row>
    <row r="266" spans="2:12" ht="18">
      <c r="B266" s="3" t="s">
        <v>127</v>
      </c>
      <c r="C266" s="7" t="s">
        <v>291</v>
      </c>
      <c r="D266" s="22" t="s">
        <v>335</v>
      </c>
      <c r="E266" s="22" t="s">
        <v>335</v>
      </c>
      <c r="F266" s="22" t="s">
        <v>335</v>
      </c>
      <c r="G266" s="22" t="s">
        <v>335</v>
      </c>
      <c r="H266" s="22" t="s">
        <v>335</v>
      </c>
      <c r="I266" s="22" t="s">
        <v>335</v>
      </c>
      <c r="J266" s="22" t="s">
        <v>335</v>
      </c>
      <c r="K266" s="22" t="s">
        <v>335</v>
      </c>
      <c r="L266" s="22" t="s">
        <v>335</v>
      </c>
    </row>
    <row r="267" spans="2:12" ht="30.75">
      <c r="B267" s="3" t="s">
        <v>111</v>
      </c>
      <c r="C267" s="7" t="s">
        <v>77</v>
      </c>
      <c r="D267" s="22" t="s">
        <v>335</v>
      </c>
      <c r="E267" s="22" t="s">
        <v>335</v>
      </c>
      <c r="F267" s="22" t="s">
        <v>335</v>
      </c>
      <c r="G267" s="22" t="s">
        <v>335</v>
      </c>
      <c r="H267" s="22" t="s">
        <v>335</v>
      </c>
      <c r="I267" s="22" t="s">
        <v>335</v>
      </c>
      <c r="J267" s="22" t="s">
        <v>335</v>
      </c>
      <c r="K267" s="22" t="s">
        <v>335</v>
      </c>
      <c r="L267" s="22" t="s">
        <v>335</v>
      </c>
    </row>
    <row r="268" spans="2:12" ht="36">
      <c r="B268" s="3" t="s">
        <v>128</v>
      </c>
      <c r="C268" s="7" t="s">
        <v>291</v>
      </c>
      <c r="D268" s="22" t="s">
        <v>335</v>
      </c>
      <c r="E268" s="22" t="s">
        <v>335</v>
      </c>
      <c r="F268" s="22" t="s">
        <v>335</v>
      </c>
      <c r="G268" s="22" t="s">
        <v>335</v>
      </c>
      <c r="H268" s="22" t="s">
        <v>335</v>
      </c>
      <c r="I268" s="22" t="s">
        <v>335</v>
      </c>
      <c r="J268" s="22" t="s">
        <v>335</v>
      </c>
      <c r="K268" s="22" t="s">
        <v>335</v>
      </c>
      <c r="L268" s="22" t="s">
        <v>335</v>
      </c>
    </row>
    <row r="269" spans="2:12" ht="30.75">
      <c r="B269" s="3" t="s">
        <v>111</v>
      </c>
      <c r="C269" s="7" t="s">
        <v>77</v>
      </c>
      <c r="D269" s="22" t="s">
        <v>335</v>
      </c>
      <c r="E269" s="22" t="s">
        <v>335</v>
      </c>
      <c r="F269" s="22" t="s">
        <v>335</v>
      </c>
      <c r="G269" s="22" t="s">
        <v>335</v>
      </c>
      <c r="H269" s="22" t="s">
        <v>335</v>
      </c>
      <c r="I269" s="22" t="s">
        <v>335</v>
      </c>
      <c r="J269" s="22" t="s">
        <v>335</v>
      </c>
      <c r="K269" s="22" t="s">
        <v>335</v>
      </c>
      <c r="L269" s="22" t="s">
        <v>335</v>
      </c>
    </row>
    <row r="270" spans="2:12" ht="36">
      <c r="B270" s="3" t="s">
        <v>129</v>
      </c>
      <c r="C270" s="7" t="s">
        <v>291</v>
      </c>
      <c r="D270" s="22" t="s">
        <v>335</v>
      </c>
      <c r="E270" s="22" t="s">
        <v>335</v>
      </c>
      <c r="F270" s="22" t="s">
        <v>335</v>
      </c>
      <c r="G270" s="22" t="s">
        <v>335</v>
      </c>
      <c r="H270" s="22" t="s">
        <v>335</v>
      </c>
      <c r="I270" s="22" t="s">
        <v>335</v>
      </c>
      <c r="J270" s="22" t="s">
        <v>335</v>
      </c>
      <c r="K270" s="22" t="s">
        <v>335</v>
      </c>
      <c r="L270" s="22" t="s">
        <v>335</v>
      </c>
    </row>
    <row r="271" spans="2:12" ht="30.75">
      <c r="B271" s="3" t="s">
        <v>111</v>
      </c>
      <c r="C271" s="7" t="s">
        <v>77</v>
      </c>
      <c r="D271" s="22" t="s">
        <v>335</v>
      </c>
      <c r="E271" s="22" t="s">
        <v>335</v>
      </c>
      <c r="F271" s="22" t="s">
        <v>335</v>
      </c>
      <c r="G271" s="22" t="s">
        <v>335</v>
      </c>
      <c r="H271" s="22" t="s">
        <v>335</v>
      </c>
      <c r="I271" s="22" t="s">
        <v>335</v>
      </c>
      <c r="J271" s="22" t="s">
        <v>335</v>
      </c>
      <c r="K271" s="22" t="s">
        <v>335</v>
      </c>
      <c r="L271" s="22" t="s">
        <v>335</v>
      </c>
    </row>
    <row r="272" spans="2:12" ht="18">
      <c r="B272" s="3" t="s">
        <v>130</v>
      </c>
      <c r="C272" s="7" t="s">
        <v>291</v>
      </c>
      <c r="D272" s="22" t="s">
        <v>335</v>
      </c>
      <c r="E272" s="22" t="s">
        <v>335</v>
      </c>
      <c r="F272" s="22" t="s">
        <v>335</v>
      </c>
      <c r="G272" s="22" t="s">
        <v>335</v>
      </c>
      <c r="H272" s="22" t="s">
        <v>335</v>
      </c>
      <c r="I272" s="22" t="s">
        <v>335</v>
      </c>
      <c r="J272" s="22" t="s">
        <v>335</v>
      </c>
      <c r="K272" s="22" t="s">
        <v>335</v>
      </c>
      <c r="L272" s="22" t="s">
        <v>335</v>
      </c>
    </row>
    <row r="273" spans="2:12" ht="30.75">
      <c r="B273" s="3" t="s">
        <v>111</v>
      </c>
      <c r="C273" s="7" t="s">
        <v>77</v>
      </c>
      <c r="D273" s="22" t="s">
        <v>335</v>
      </c>
      <c r="E273" s="22" t="s">
        <v>335</v>
      </c>
      <c r="F273" s="22" t="s">
        <v>335</v>
      </c>
      <c r="G273" s="22" t="s">
        <v>335</v>
      </c>
      <c r="H273" s="22" t="s">
        <v>335</v>
      </c>
      <c r="I273" s="22" t="s">
        <v>335</v>
      </c>
      <c r="J273" s="22" t="s">
        <v>335</v>
      </c>
      <c r="K273" s="22" t="s">
        <v>335</v>
      </c>
      <c r="L273" s="22" t="s">
        <v>335</v>
      </c>
    </row>
    <row r="274" spans="2:12" ht="36">
      <c r="B274" s="3" t="s">
        <v>131</v>
      </c>
      <c r="C274" s="7" t="s">
        <v>291</v>
      </c>
      <c r="D274" s="22" t="s">
        <v>335</v>
      </c>
      <c r="E274" s="22" t="s">
        <v>335</v>
      </c>
      <c r="F274" s="22" t="s">
        <v>335</v>
      </c>
      <c r="G274" s="22" t="s">
        <v>335</v>
      </c>
      <c r="H274" s="22" t="s">
        <v>335</v>
      </c>
      <c r="I274" s="22" t="s">
        <v>335</v>
      </c>
      <c r="J274" s="22" t="s">
        <v>335</v>
      </c>
      <c r="K274" s="22" t="s">
        <v>335</v>
      </c>
      <c r="L274" s="22" t="s">
        <v>335</v>
      </c>
    </row>
    <row r="275" spans="2:12" ht="30.75">
      <c r="B275" s="3" t="s">
        <v>111</v>
      </c>
      <c r="C275" s="7" t="s">
        <v>77</v>
      </c>
      <c r="D275" s="22" t="s">
        <v>335</v>
      </c>
      <c r="E275" s="22" t="s">
        <v>335</v>
      </c>
      <c r="F275" s="22" t="s">
        <v>335</v>
      </c>
      <c r="G275" s="22" t="s">
        <v>335</v>
      </c>
      <c r="H275" s="22" t="s">
        <v>335</v>
      </c>
      <c r="I275" s="22" t="s">
        <v>335</v>
      </c>
      <c r="J275" s="22" t="s">
        <v>335</v>
      </c>
      <c r="K275" s="22" t="s">
        <v>335</v>
      </c>
      <c r="L275" s="22" t="s">
        <v>335</v>
      </c>
    </row>
    <row r="276" spans="2:12" ht="18">
      <c r="B276" s="3" t="s">
        <v>132</v>
      </c>
      <c r="C276" s="7" t="s">
        <v>291</v>
      </c>
      <c r="D276" s="22" t="s">
        <v>335</v>
      </c>
      <c r="E276" s="22" t="s">
        <v>335</v>
      </c>
      <c r="F276" s="22" t="s">
        <v>335</v>
      </c>
      <c r="G276" s="22" t="s">
        <v>335</v>
      </c>
      <c r="H276" s="22" t="s">
        <v>335</v>
      </c>
      <c r="I276" s="22" t="s">
        <v>335</v>
      </c>
      <c r="J276" s="22" t="s">
        <v>335</v>
      </c>
      <c r="K276" s="22" t="s">
        <v>335</v>
      </c>
      <c r="L276" s="22" t="s">
        <v>335</v>
      </c>
    </row>
    <row r="277" spans="2:12" ht="30.75">
      <c r="B277" s="3" t="s">
        <v>111</v>
      </c>
      <c r="C277" s="7" t="s">
        <v>77</v>
      </c>
      <c r="D277" s="22" t="s">
        <v>335</v>
      </c>
      <c r="E277" s="22" t="s">
        <v>335</v>
      </c>
      <c r="F277" s="22" t="s">
        <v>335</v>
      </c>
      <c r="G277" s="22" t="s">
        <v>335</v>
      </c>
      <c r="H277" s="22" t="s">
        <v>335</v>
      </c>
      <c r="I277" s="22" t="s">
        <v>335</v>
      </c>
      <c r="J277" s="22" t="s">
        <v>335</v>
      </c>
      <c r="K277" s="22" t="s">
        <v>335</v>
      </c>
      <c r="L277" s="22" t="s">
        <v>335</v>
      </c>
    </row>
    <row r="278" spans="2:12" ht="18">
      <c r="B278" s="3" t="s">
        <v>133</v>
      </c>
      <c r="C278" s="7" t="s">
        <v>291</v>
      </c>
      <c r="D278" s="22" t="s">
        <v>335</v>
      </c>
      <c r="E278" s="22" t="s">
        <v>335</v>
      </c>
      <c r="F278" s="22" t="s">
        <v>335</v>
      </c>
      <c r="G278" s="22" t="s">
        <v>335</v>
      </c>
      <c r="H278" s="22" t="s">
        <v>335</v>
      </c>
      <c r="I278" s="22" t="s">
        <v>335</v>
      </c>
      <c r="J278" s="22" t="s">
        <v>335</v>
      </c>
      <c r="K278" s="22" t="s">
        <v>335</v>
      </c>
      <c r="L278" s="22" t="s">
        <v>335</v>
      </c>
    </row>
    <row r="279" spans="2:12" ht="30.75">
      <c r="B279" s="3" t="s">
        <v>111</v>
      </c>
      <c r="C279" s="7" t="s">
        <v>77</v>
      </c>
      <c r="D279" s="22" t="s">
        <v>335</v>
      </c>
      <c r="E279" s="22" t="s">
        <v>335</v>
      </c>
      <c r="F279" s="22" t="s">
        <v>335</v>
      </c>
      <c r="G279" s="22" t="s">
        <v>335</v>
      </c>
      <c r="H279" s="22" t="s">
        <v>335</v>
      </c>
      <c r="I279" s="22" t="s">
        <v>335</v>
      </c>
      <c r="J279" s="22" t="s">
        <v>335</v>
      </c>
      <c r="K279" s="22" t="s">
        <v>335</v>
      </c>
      <c r="L279" s="22" t="s">
        <v>335</v>
      </c>
    </row>
    <row r="280" spans="2:12" ht="30.75">
      <c r="B280" s="4" t="s">
        <v>134</v>
      </c>
      <c r="C280" s="23" t="s">
        <v>114</v>
      </c>
      <c r="D280" s="6">
        <v>209.61</v>
      </c>
      <c r="E280" s="6">
        <v>131.673</v>
      </c>
      <c r="F280" s="6">
        <v>230</v>
      </c>
      <c r="G280" s="6">
        <v>182</v>
      </c>
      <c r="H280" s="6">
        <v>186</v>
      </c>
      <c r="I280" s="6">
        <v>189</v>
      </c>
      <c r="J280" s="6">
        <v>196</v>
      </c>
      <c r="K280" s="6">
        <v>201</v>
      </c>
      <c r="L280" s="6">
        <v>209</v>
      </c>
    </row>
    <row r="281" spans="2:12" ht="30.75">
      <c r="B281" s="4" t="s">
        <v>111</v>
      </c>
      <c r="C281" s="23" t="s">
        <v>77</v>
      </c>
      <c r="D281" s="6">
        <v>195.9857012063766</v>
      </c>
      <c r="E281" s="6">
        <f>E280/D280/1.033*100</f>
        <v>60.81131727003448</v>
      </c>
      <c r="F281" s="6">
        <f>F280/E280/1.101*100</f>
        <v>158.65135532093504</v>
      </c>
      <c r="G281" s="6">
        <f>G280/F280/1.073*100</f>
        <v>73.74691032861948</v>
      </c>
      <c r="H281" s="6">
        <f>H280/F280/1.073*100</f>
        <v>75.3677215446331</v>
      </c>
      <c r="I281" s="6">
        <f>I280/G280/1.065*100</f>
        <v>97.50812567713977</v>
      </c>
      <c r="J281" s="6">
        <f>J280/H280/1.065*100</f>
        <v>98.94492402443333</v>
      </c>
      <c r="K281" s="6">
        <f>K280/I280/1.062*100</f>
        <v>100.14049562072161</v>
      </c>
      <c r="L281" s="6">
        <f>L280/J280/1.062*100</f>
        <v>100.40739459625658</v>
      </c>
    </row>
    <row r="282" spans="2:12" ht="30.75">
      <c r="B282" s="4" t="s">
        <v>135</v>
      </c>
      <c r="C282" s="23" t="s">
        <v>114</v>
      </c>
      <c r="D282" s="6">
        <v>1867.9</v>
      </c>
      <c r="E282" s="6">
        <v>2893.37</v>
      </c>
      <c r="F282" s="6">
        <v>2680</v>
      </c>
      <c r="G282" s="6">
        <v>2150</v>
      </c>
      <c r="H282" s="6">
        <v>2230</v>
      </c>
      <c r="I282" s="6">
        <v>2220</v>
      </c>
      <c r="J282" s="6">
        <v>2320</v>
      </c>
      <c r="K282" s="6">
        <v>2460</v>
      </c>
      <c r="L282" s="6">
        <v>2690</v>
      </c>
    </row>
    <row r="283" spans="2:12" ht="30.75">
      <c r="B283" s="4" t="s">
        <v>111</v>
      </c>
      <c r="C283" s="23" t="s">
        <v>77</v>
      </c>
      <c r="D283" s="6">
        <v>336.3334151524371</v>
      </c>
      <c r="E283" s="6">
        <f>E282/D282/1.033*100</f>
        <v>149.9512293262329</v>
      </c>
      <c r="F283" s="6">
        <f>F282/E282/1.101*100</f>
        <v>84.12856883237994</v>
      </c>
      <c r="G283" s="6">
        <f>G282/F282/1.073*100</f>
        <v>74.76596514167282</v>
      </c>
      <c r="H283" s="6">
        <f>H282/F282/1.073*100</f>
        <v>77.5479545422932</v>
      </c>
      <c r="I283" s="6">
        <f>I282/G282/1.065*100</f>
        <v>96.95381591876843</v>
      </c>
      <c r="J283" s="6">
        <f>J282/H282/1.065*100</f>
        <v>97.68626707930693</v>
      </c>
      <c r="K283" s="6">
        <f>K282/I282/1.062*100</f>
        <v>104.34162976535856</v>
      </c>
      <c r="L283" s="6">
        <f>L282/J282/1.062*100</f>
        <v>109.17916747840768</v>
      </c>
    </row>
    <row r="284" spans="2:12" ht="54">
      <c r="B284" s="4" t="s">
        <v>136</v>
      </c>
      <c r="C284" s="23" t="s">
        <v>114</v>
      </c>
      <c r="D284" s="6">
        <v>10.6</v>
      </c>
      <c r="E284" s="6">
        <v>8.044</v>
      </c>
      <c r="F284" s="6">
        <v>12.5</v>
      </c>
      <c r="G284" s="6">
        <v>12.7</v>
      </c>
      <c r="H284" s="6">
        <v>12.9</v>
      </c>
      <c r="I284" s="6">
        <v>12.8</v>
      </c>
      <c r="J284" s="6">
        <v>13.1</v>
      </c>
      <c r="K284" s="6">
        <v>12.9</v>
      </c>
      <c r="L284" s="6">
        <v>13.3</v>
      </c>
    </row>
    <row r="285" spans="2:12" ht="30.75">
      <c r="B285" s="4" t="s">
        <v>111</v>
      </c>
      <c r="C285" s="23" t="s">
        <v>77</v>
      </c>
      <c r="D285" s="6">
        <v>61.24392182964483</v>
      </c>
      <c r="E285" s="6">
        <f>E284/D284/1.033*100</f>
        <v>73.46252899596341</v>
      </c>
      <c r="F285" s="6">
        <f>F284/E284/1.101*100</f>
        <v>141.14016867266366</v>
      </c>
      <c r="G285" s="6">
        <f>G284/F284/1.073*100</f>
        <v>94.68779123951538</v>
      </c>
      <c r="H285" s="6">
        <f>H284/F284/1.073*100</f>
        <v>96.17893755824791</v>
      </c>
      <c r="I285" s="6">
        <f>I284/G284/1.065*100</f>
        <v>94.6360578167166</v>
      </c>
      <c r="J285" s="6">
        <f>J284/H284/1.065*100</f>
        <v>95.3524766168068</v>
      </c>
      <c r="K285" s="6">
        <f>K284/I284/1.062*100</f>
        <v>94.89759887005648</v>
      </c>
      <c r="L285" s="6">
        <f>L284/J284/1.062*100</f>
        <v>95.59954572245942</v>
      </c>
    </row>
    <row r="286" spans="2:12" ht="30.75">
      <c r="B286" s="4" t="s">
        <v>137</v>
      </c>
      <c r="C286" s="23" t="s">
        <v>114</v>
      </c>
      <c r="D286" s="6">
        <v>0.11</v>
      </c>
      <c r="E286" s="6">
        <v>53.193</v>
      </c>
      <c r="F286" s="6">
        <v>8.6</v>
      </c>
      <c r="G286" s="6">
        <v>8.65</v>
      </c>
      <c r="H286" s="6">
        <v>8.7</v>
      </c>
      <c r="I286" s="6">
        <v>8.72</v>
      </c>
      <c r="J286" s="6">
        <v>8.79</v>
      </c>
      <c r="K286" s="6">
        <v>9.76</v>
      </c>
      <c r="L286" s="6">
        <v>9.84</v>
      </c>
    </row>
    <row r="287" spans="2:12" ht="30.75">
      <c r="B287" s="4" t="s">
        <v>111</v>
      </c>
      <c r="C287" s="23" t="s">
        <v>77</v>
      </c>
      <c r="D287" s="6">
        <v>0.4596940276551927</v>
      </c>
      <c r="E287" s="6">
        <f>E286/D286/1.033*100</f>
        <v>46812.461497843884</v>
      </c>
      <c r="F287" s="6">
        <f>F286/E286/1.101*100</f>
        <v>14.684414933551402</v>
      </c>
      <c r="G287" s="6">
        <f>G286/F286/1.073*100</f>
        <v>93.73848587962462</v>
      </c>
      <c r="H287" s="6">
        <f>H286/F286/1.073*100</f>
        <v>94.28032683846638</v>
      </c>
      <c r="I287" s="6">
        <f>I286/G286/1.065*100</f>
        <v>94.65657141306413</v>
      </c>
      <c r="J287" s="6">
        <f>J286/H286/1.065*100</f>
        <v>94.86805892828234</v>
      </c>
      <c r="K287" s="6">
        <f>K286/I286/1.062*100</f>
        <v>105.39228390262443</v>
      </c>
      <c r="L287" s="6">
        <f>L286/J286/1.062*100</f>
        <v>105.4099740974271</v>
      </c>
    </row>
    <row r="288" spans="2:12" ht="30.75">
      <c r="B288" s="4" t="s">
        <v>138</v>
      </c>
      <c r="C288" s="23" t="s">
        <v>114</v>
      </c>
      <c r="D288" s="6">
        <v>1403.3</v>
      </c>
      <c r="E288" s="6">
        <v>1025.248</v>
      </c>
      <c r="F288" s="6">
        <v>1130</v>
      </c>
      <c r="G288" s="6">
        <v>1146</v>
      </c>
      <c r="H288" s="6">
        <v>1157</v>
      </c>
      <c r="I288" s="6">
        <v>1159</v>
      </c>
      <c r="J288" s="6">
        <v>1171</v>
      </c>
      <c r="K288" s="6">
        <v>1169</v>
      </c>
      <c r="L288" s="6">
        <v>1186</v>
      </c>
    </row>
    <row r="289" spans="2:12" ht="30.75">
      <c r="B289" s="4" t="s">
        <v>111</v>
      </c>
      <c r="C289" s="23" t="s">
        <v>77</v>
      </c>
      <c r="D289" s="6">
        <v>37.087924169776</v>
      </c>
      <c r="E289" s="6">
        <f>E288/D288/1.033*100</f>
        <v>70.72583508558759</v>
      </c>
      <c r="F289" s="6">
        <f>F288/E288/1.101*100</f>
        <v>100.10648069441027</v>
      </c>
      <c r="G289" s="6">
        <f>G288/F288/1.073*100</f>
        <v>94.51624343293554</v>
      </c>
      <c r="H289" s="6">
        <f>H288/F288/1.073*100</f>
        <v>95.4234674100405</v>
      </c>
      <c r="I289" s="6">
        <f>I288/G288/1.065*100</f>
        <v>94.96185958098798</v>
      </c>
      <c r="J289" s="6">
        <f>J288/H288/1.065*100</f>
        <v>95.03288819636343</v>
      </c>
      <c r="K289" s="6">
        <f>K288/I288/1.062*100</f>
        <v>94.97439997140205</v>
      </c>
      <c r="L289" s="6">
        <f>L288/J288/1.062*100</f>
        <v>95.36813224809866</v>
      </c>
    </row>
    <row r="290" spans="2:12" ht="30.75">
      <c r="B290" s="4" t="s">
        <v>139</v>
      </c>
      <c r="C290" s="23" t="s">
        <v>114</v>
      </c>
      <c r="D290" s="6">
        <v>4.67</v>
      </c>
      <c r="E290" s="6">
        <v>2.156</v>
      </c>
      <c r="F290" s="6">
        <v>4.4</v>
      </c>
      <c r="G290" s="6">
        <v>4.5</v>
      </c>
      <c r="H290" s="6">
        <v>4.7</v>
      </c>
      <c r="I290" s="6">
        <v>4.6</v>
      </c>
      <c r="J290" s="6">
        <v>4.9</v>
      </c>
      <c r="K290" s="6">
        <v>4.9</v>
      </c>
      <c r="L290" s="6">
        <v>5.3</v>
      </c>
    </row>
    <row r="291" spans="2:12" ht="30.75">
      <c r="B291" s="4" t="s">
        <v>111</v>
      </c>
      <c r="C291" s="23" t="s">
        <v>77</v>
      </c>
      <c r="D291" s="6">
        <v>81.89534231200896</v>
      </c>
      <c r="E291" s="6">
        <f>E290/D290/1.033*100</f>
        <v>44.69218156302407</v>
      </c>
      <c r="F291" s="6">
        <f>F290/E290/1.101*100</f>
        <v>185.36024764129087</v>
      </c>
      <c r="G291" s="6">
        <f>G290/F290/1.073*100</f>
        <v>95.31475048716428</v>
      </c>
      <c r="H291" s="6">
        <f>H290/F290/1.073*100</f>
        <v>99.55096161992714</v>
      </c>
      <c r="I291" s="6">
        <f>I290/G290/1.065*100</f>
        <v>95.98330725091289</v>
      </c>
      <c r="J291" s="6">
        <f>J290/H290/1.065*100</f>
        <v>97.89231844970534</v>
      </c>
      <c r="K291" s="6">
        <f>K290/I290/1.062*100</f>
        <v>100.30295586669942</v>
      </c>
      <c r="L291" s="6">
        <f>L290/J290/1.062*100</f>
        <v>101.84864906414542</v>
      </c>
    </row>
    <row r="292" spans="2:12" ht="36">
      <c r="B292" s="4" t="s">
        <v>140</v>
      </c>
      <c r="C292" s="23" t="s">
        <v>114</v>
      </c>
      <c r="D292" s="6">
        <v>63.15</v>
      </c>
      <c r="E292" s="6">
        <v>3.308</v>
      </c>
      <c r="F292" s="6">
        <v>103.4</v>
      </c>
      <c r="G292" s="6">
        <v>126.2</v>
      </c>
      <c r="H292" s="6">
        <v>130</v>
      </c>
      <c r="I292" s="6">
        <v>135.3</v>
      </c>
      <c r="J292" s="6">
        <v>139.5</v>
      </c>
      <c r="K292" s="6">
        <v>144.5</v>
      </c>
      <c r="L292" s="6">
        <v>149.2</v>
      </c>
    </row>
    <row r="293" spans="2:12" ht="30.75">
      <c r="B293" s="4" t="s">
        <v>111</v>
      </c>
      <c r="C293" s="23" t="s">
        <v>77</v>
      </c>
      <c r="D293" s="6">
        <v>68.74484005476074</v>
      </c>
      <c r="E293" s="6">
        <v>5.07</v>
      </c>
      <c r="F293" s="6">
        <f>F292/E292/1.101*100</f>
        <v>2839.015207676434</v>
      </c>
      <c r="G293" s="6">
        <f>G292/F292/1.073*100</f>
        <v>113.74677552227077</v>
      </c>
      <c r="H293" s="6">
        <f>H292/F292/1.073*100</f>
        <v>117.17179728918539</v>
      </c>
      <c r="I293" s="6">
        <f>I292/G292/1.065*100</f>
        <v>100.66739581705768</v>
      </c>
      <c r="J293" s="6">
        <f>J292/H292/1.065*100</f>
        <v>100.75839653304442</v>
      </c>
      <c r="K293" s="6">
        <f>K292/I292/1.062*100</f>
        <v>100.56469337163838</v>
      </c>
      <c r="L293" s="6">
        <f>L292/J292/1.062*100</f>
        <v>100.7094209208297</v>
      </c>
    </row>
    <row r="294" spans="2:12" ht="36">
      <c r="B294" s="4" t="s">
        <v>141</v>
      </c>
      <c r="C294" s="23" t="s">
        <v>114</v>
      </c>
      <c r="D294" s="6">
        <v>52.6</v>
      </c>
      <c r="E294" s="6">
        <v>52.069</v>
      </c>
      <c r="F294" s="6">
        <v>38.12</v>
      </c>
      <c r="G294" s="6">
        <v>37.62</v>
      </c>
      <c r="H294" s="6">
        <v>38.59</v>
      </c>
      <c r="I294" s="6">
        <v>39.58</v>
      </c>
      <c r="J294" s="6">
        <v>41.38</v>
      </c>
      <c r="K294" s="6">
        <v>43.53</v>
      </c>
      <c r="L294" s="6">
        <v>46.51</v>
      </c>
    </row>
    <row r="295" spans="2:12" ht="30.75">
      <c r="B295" s="4" t="s">
        <v>111</v>
      </c>
      <c r="C295" s="23" t="s">
        <v>77</v>
      </c>
      <c r="D295" s="6">
        <v>111.80831887902596</v>
      </c>
      <c r="E295" s="6">
        <f>E294/D294/1.033*100</f>
        <v>95.8281648563194</v>
      </c>
      <c r="F295" s="6">
        <f>F294/E294/1.101*100</f>
        <v>66.49459359008515</v>
      </c>
      <c r="G295" s="6">
        <f>G294/F294/1.073*100</f>
        <v>91.97423352360575</v>
      </c>
      <c r="H295" s="6">
        <f>H294/F294/1.073*100</f>
        <v>94.34571163412936</v>
      </c>
      <c r="I295" s="6">
        <f>I294/G294/1.065*100</f>
        <v>98.78872740251539</v>
      </c>
      <c r="J295" s="6">
        <f>J294/H294/1.065*100</f>
        <v>100.68530731769036</v>
      </c>
      <c r="K295" s="6">
        <f>K294/I294/1.062*100</f>
        <v>103.55912219548193</v>
      </c>
      <c r="L295" s="6">
        <f>L294/J294/1.062*100</f>
        <v>105.83549282339328</v>
      </c>
    </row>
    <row r="296" spans="2:12" ht="30.75">
      <c r="B296" s="4" t="s">
        <v>142</v>
      </c>
      <c r="C296" s="23" t="s">
        <v>114</v>
      </c>
      <c r="D296" s="6">
        <v>144.86</v>
      </c>
      <c r="E296" s="6">
        <v>38.826</v>
      </c>
      <c r="F296" s="6">
        <v>77.8</v>
      </c>
      <c r="G296" s="6">
        <v>79.36</v>
      </c>
      <c r="H296" s="6">
        <v>80.134</v>
      </c>
      <c r="I296" s="6">
        <v>80.94</v>
      </c>
      <c r="J296" s="6">
        <v>81.75</v>
      </c>
      <c r="K296" s="6">
        <v>82.56</v>
      </c>
      <c r="L296" s="6">
        <v>83.4</v>
      </c>
    </row>
    <row r="297" spans="2:12" ht="30.75">
      <c r="B297" s="4" t="s">
        <v>111</v>
      </c>
      <c r="C297" s="23" t="s">
        <v>77</v>
      </c>
      <c r="D297" s="6">
        <v>193.23570968168804</v>
      </c>
      <c r="E297" s="6">
        <v>25.86</v>
      </c>
      <c r="F297" s="6">
        <v>182.6</v>
      </c>
      <c r="G297" s="6">
        <v>95.07</v>
      </c>
      <c r="H297" s="6">
        <v>95.99</v>
      </c>
      <c r="I297" s="6">
        <v>95.77</v>
      </c>
      <c r="J297" s="6">
        <v>95.79</v>
      </c>
      <c r="K297" s="6">
        <v>96.05</v>
      </c>
      <c r="L297" s="6">
        <v>96.06</v>
      </c>
    </row>
    <row r="298" spans="2:12" ht="30.75">
      <c r="B298" s="4" t="s">
        <v>143</v>
      </c>
      <c r="C298" s="23" t="s">
        <v>114</v>
      </c>
      <c r="D298" s="6">
        <v>80.68</v>
      </c>
      <c r="E298" s="6">
        <v>109.866</v>
      </c>
      <c r="F298" s="6">
        <v>50.6</v>
      </c>
      <c r="G298" s="6">
        <v>54.5</v>
      </c>
      <c r="H298" s="6">
        <v>54.9</v>
      </c>
      <c r="I298" s="6">
        <v>58.1</v>
      </c>
      <c r="J298" s="6">
        <v>58.9</v>
      </c>
      <c r="K298" s="6">
        <v>61.8</v>
      </c>
      <c r="L298" s="6">
        <v>62.7</v>
      </c>
    </row>
    <row r="299" spans="2:12" ht="30.75">
      <c r="B299" s="4" t="s">
        <v>111</v>
      </c>
      <c r="C299" s="23" t="s">
        <v>77</v>
      </c>
      <c r="D299" s="6">
        <v>262.54816203269814</v>
      </c>
      <c r="E299" s="6">
        <f>E298/D298/1.033*100</f>
        <v>131.82479418649132</v>
      </c>
      <c r="F299" s="6">
        <f>F298/E298/1.101*100</f>
        <v>41.83115777418096</v>
      </c>
      <c r="G299" s="6">
        <f>G298/F298/1.073*100</f>
        <v>100.37978553720683</v>
      </c>
      <c r="H299" s="6">
        <f>H298/F298/1.073*100</f>
        <v>101.1165179081221</v>
      </c>
      <c r="I299" s="6">
        <f>I298/G298/1.065*100</f>
        <v>100.09906534005255</v>
      </c>
      <c r="J299" s="6">
        <f>J298/H298/1.065*100</f>
        <v>100.73800422449695</v>
      </c>
      <c r="K299" s="6">
        <f>K298/I298/1.062*100</f>
        <v>100.15850326244444</v>
      </c>
      <c r="L299" s="6">
        <f>L298/J298/1.062*100</f>
        <v>100.2369236376891</v>
      </c>
    </row>
    <row r="300" spans="2:12" ht="35.25" customHeight="1">
      <c r="B300" s="4" t="s">
        <v>144</v>
      </c>
      <c r="C300" s="23" t="s">
        <v>114</v>
      </c>
      <c r="D300" s="6">
        <v>276.76</v>
      </c>
      <c r="E300" s="6">
        <v>131.54</v>
      </c>
      <c r="F300" s="6">
        <v>150.3</v>
      </c>
      <c r="G300" s="6">
        <v>161.5</v>
      </c>
      <c r="H300" s="6">
        <v>162.3</v>
      </c>
      <c r="I300" s="6">
        <v>172.2</v>
      </c>
      <c r="J300" s="6">
        <v>174</v>
      </c>
      <c r="K300" s="6">
        <v>184</v>
      </c>
      <c r="L300" s="6">
        <v>186</v>
      </c>
    </row>
    <row r="301" spans="2:12" ht="36.75" customHeight="1">
      <c r="B301" s="4" t="s">
        <v>111</v>
      </c>
      <c r="C301" s="23" t="s">
        <v>77</v>
      </c>
      <c r="D301" s="6">
        <v>166.2332445346526</v>
      </c>
      <c r="E301" s="6">
        <f>E300/D300/1.033*100</f>
        <v>46.010207732205345</v>
      </c>
      <c r="F301" s="6">
        <f>F300/E300/1.101*100</f>
        <v>103.78003769224684</v>
      </c>
      <c r="G301" s="6">
        <f>G300/F300/1.073*100</f>
        <v>100.14143815506607</v>
      </c>
      <c r="H301" s="6">
        <f>H300/F300/1.073*100</f>
        <v>100.63749481465774</v>
      </c>
      <c r="I301" s="6">
        <f>I300/G300/1.065*100</f>
        <v>100.11773426939345</v>
      </c>
      <c r="J301" s="6">
        <f>J300/H300/1.065*100</f>
        <v>100.66560794216934</v>
      </c>
      <c r="K301" s="6">
        <f>K300/I300/1.062*100</f>
        <v>100.61440404557396</v>
      </c>
      <c r="L301" s="6">
        <f>L300/J300/1.062*100</f>
        <v>100.65588674589259</v>
      </c>
    </row>
    <row r="302" spans="2:12" ht="77.25" customHeight="1">
      <c r="B302" s="2" t="s">
        <v>145</v>
      </c>
      <c r="C302" s="7"/>
      <c r="D302" s="7"/>
      <c r="E302" s="6"/>
      <c r="F302" s="6"/>
      <c r="G302" s="6"/>
      <c r="H302" s="6"/>
      <c r="I302" s="6"/>
      <c r="J302" s="6"/>
      <c r="K302" s="6"/>
      <c r="L302" s="6"/>
    </row>
    <row r="303" spans="2:12" ht="18">
      <c r="B303" s="4" t="s">
        <v>146</v>
      </c>
      <c r="C303" s="7" t="s">
        <v>147</v>
      </c>
      <c r="D303" s="6">
        <v>5124.84</v>
      </c>
      <c r="E303" s="6">
        <v>14064.538</v>
      </c>
      <c r="F303" s="6">
        <v>24752.92</v>
      </c>
      <c r="G303" s="6">
        <v>16398.23</v>
      </c>
      <c r="H303" s="6">
        <v>16635.72</v>
      </c>
      <c r="I303" s="6">
        <v>17125.94</v>
      </c>
      <c r="J303" s="6">
        <v>17458.12</v>
      </c>
      <c r="K303" s="6">
        <v>19534.55</v>
      </c>
      <c r="L303" s="6">
        <v>20052.15</v>
      </c>
    </row>
    <row r="304" spans="2:12" ht="18">
      <c r="B304" s="4" t="s">
        <v>148</v>
      </c>
      <c r="C304" s="7" t="s">
        <v>147</v>
      </c>
      <c r="D304" s="6">
        <v>2458.36</v>
      </c>
      <c r="E304" s="6">
        <v>1422.116</v>
      </c>
      <c r="F304" s="6">
        <v>1578.3</v>
      </c>
      <c r="G304" s="6">
        <v>1589.5</v>
      </c>
      <c r="H304" s="6">
        <v>1612</v>
      </c>
      <c r="I304" s="6">
        <v>1635</v>
      </c>
      <c r="J304" s="6">
        <v>1646</v>
      </c>
      <c r="K304" s="6">
        <v>1724</v>
      </c>
      <c r="L304" s="6">
        <v>1746</v>
      </c>
    </row>
    <row r="305" spans="2:12" ht="18">
      <c r="B305" s="3" t="s">
        <v>149</v>
      </c>
      <c r="C305" s="7" t="s">
        <v>147</v>
      </c>
      <c r="D305" s="6">
        <v>3.2</v>
      </c>
      <c r="E305" s="6">
        <v>4.5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</row>
    <row r="306" spans="2:12" ht="18">
      <c r="B306" s="3" t="s">
        <v>150</v>
      </c>
      <c r="C306" s="7" t="s">
        <v>147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</row>
    <row r="307" spans="2:12" ht="18">
      <c r="B307" s="3" t="s">
        <v>151</v>
      </c>
      <c r="C307" s="7" t="s">
        <v>147</v>
      </c>
      <c r="D307" s="7" t="s">
        <v>335</v>
      </c>
      <c r="E307" s="7" t="s">
        <v>335</v>
      </c>
      <c r="F307" s="7" t="s">
        <v>335</v>
      </c>
      <c r="G307" s="7" t="s">
        <v>335</v>
      </c>
      <c r="H307" s="7" t="s">
        <v>335</v>
      </c>
      <c r="I307" s="7" t="s">
        <v>335</v>
      </c>
      <c r="J307" s="7" t="s">
        <v>335</v>
      </c>
      <c r="K307" s="7" t="s">
        <v>335</v>
      </c>
      <c r="L307" s="7" t="s">
        <v>335</v>
      </c>
    </row>
    <row r="308" spans="2:12" ht="18">
      <c r="B308" s="3" t="s">
        <v>152</v>
      </c>
      <c r="C308" s="7" t="s">
        <v>147</v>
      </c>
      <c r="D308" s="6">
        <f aca="true" t="shared" si="5" ref="D308:L308">SUM(D310:D312)</f>
        <v>1558.8600000000001</v>
      </c>
      <c r="E308" s="6">
        <f t="shared" si="5"/>
        <v>739.25</v>
      </c>
      <c r="F308" s="6">
        <f t="shared" si="5"/>
        <v>1122.4</v>
      </c>
      <c r="G308" s="6">
        <f t="shared" si="5"/>
        <v>947</v>
      </c>
      <c r="H308" s="6">
        <f t="shared" si="5"/>
        <v>986.5</v>
      </c>
      <c r="I308" s="6">
        <f t="shared" si="5"/>
        <v>995.3</v>
      </c>
      <c r="J308" s="6">
        <f t="shared" si="5"/>
        <v>1014.8</v>
      </c>
      <c r="K308" s="6">
        <f t="shared" si="5"/>
        <v>1023.4</v>
      </c>
      <c r="L308" s="6">
        <f t="shared" si="5"/>
        <v>1046</v>
      </c>
    </row>
    <row r="309" spans="2:12" ht="18">
      <c r="B309" s="3" t="s">
        <v>41</v>
      </c>
      <c r="C309" s="7"/>
      <c r="D309" s="6"/>
      <c r="E309" s="6"/>
      <c r="F309" s="6"/>
      <c r="G309" s="6"/>
      <c r="H309" s="6"/>
      <c r="I309" s="6"/>
      <c r="J309" s="6"/>
      <c r="K309" s="6"/>
      <c r="L309" s="6"/>
    </row>
    <row r="310" spans="2:12" ht="18">
      <c r="B310" s="4" t="s">
        <v>153</v>
      </c>
      <c r="C310" s="7" t="s">
        <v>147</v>
      </c>
      <c r="D310" s="6">
        <v>799.63</v>
      </c>
      <c r="E310" s="53">
        <v>18.37</v>
      </c>
      <c r="F310" s="6">
        <v>108</v>
      </c>
      <c r="G310" s="6">
        <v>110</v>
      </c>
      <c r="H310" s="6">
        <v>118</v>
      </c>
      <c r="I310" s="6">
        <v>121</v>
      </c>
      <c r="J310" s="6">
        <v>129</v>
      </c>
      <c r="K310" s="6">
        <v>130</v>
      </c>
      <c r="L310" s="6">
        <v>138</v>
      </c>
    </row>
    <row r="311" spans="2:12" ht="18">
      <c r="B311" s="4" t="s">
        <v>154</v>
      </c>
      <c r="C311" s="7" t="s">
        <v>147</v>
      </c>
      <c r="D311" s="6">
        <v>442.31</v>
      </c>
      <c r="E311" s="6">
        <v>541</v>
      </c>
      <c r="F311" s="6">
        <v>840.4</v>
      </c>
      <c r="G311" s="6">
        <v>661</v>
      </c>
      <c r="H311" s="6">
        <v>690.5</v>
      </c>
      <c r="I311" s="6">
        <v>693.3</v>
      </c>
      <c r="J311" s="6">
        <v>702.8</v>
      </c>
      <c r="K311" s="6">
        <v>706.4</v>
      </c>
      <c r="L311" s="6">
        <v>718</v>
      </c>
    </row>
    <row r="312" spans="2:12" ht="18">
      <c r="B312" s="4" t="s">
        <v>155</v>
      </c>
      <c r="C312" s="7" t="s">
        <v>147</v>
      </c>
      <c r="D312" s="6">
        <v>316.92</v>
      </c>
      <c r="E312" s="6">
        <v>179.88</v>
      </c>
      <c r="F312" s="6">
        <v>174</v>
      </c>
      <c r="G312" s="6">
        <v>176</v>
      </c>
      <c r="H312" s="6">
        <v>178</v>
      </c>
      <c r="I312" s="6">
        <v>181</v>
      </c>
      <c r="J312" s="6">
        <v>183</v>
      </c>
      <c r="K312" s="6">
        <v>187</v>
      </c>
      <c r="L312" s="6">
        <v>190</v>
      </c>
    </row>
    <row r="313" spans="2:12" ht="18">
      <c r="B313" s="3" t="s">
        <v>156</v>
      </c>
      <c r="C313" s="7" t="s">
        <v>147</v>
      </c>
      <c r="D313" s="6">
        <v>899.5</v>
      </c>
      <c r="E313" s="6">
        <v>682.87</v>
      </c>
      <c r="F313" s="6">
        <v>455.9</v>
      </c>
      <c r="G313" s="6">
        <v>642.5</v>
      </c>
      <c r="H313" s="6">
        <v>625.5</v>
      </c>
      <c r="I313" s="6">
        <v>639.7</v>
      </c>
      <c r="J313" s="6">
        <v>631.2</v>
      </c>
      <c r="K313" s="6">
        <v>700.6</v>
      </c>
      <c r="L313" s="6">
        <v>700</v>
      </c>
    </row>
    <row r="314" spans="2:13" ht="61.5" customHeight="1">
      <c r="B314" s="54" t="s">
        <v>326</v>
      </c>
      <c r="C314" s="7" t="s">
        <v>22</v>
      </c>
      <c r="D314" s="6">
        <f>D316+D317</f>
        <v>849.93</v>
      </c>
      <c r="E314" s="6">
        <f aca="true" t="shared" si="6" ref="E314:L314">E316+E317</f>
        <v>314.758</v>
      </c>
      <c r="F314" s="6">
        <f t="shared" si="6"/>
        <v>751.4</v>
      </c>
      <c r="G314" s="6">
        <f t="shared" si="6"/>
        <v>150.5</v>
      </c>
      <c r="H314" s="6">
        <f t="shared" si="6"/>
        <v>159</v>
      </c>
      <c r="I314" s="6">
        <f t="shared" si="6"/>
        <v>167</v>
      </c>
      <c r="J314" s="6">
        <f t="shared" si="6"/>
        <v>180</v>
      </c>
      <c r="K314" s="6">
        <f t="shared" si="6"/>
        <v>186</v>
      </c>
      <c r="L314" s="6">
        <f t="shared" si="6"/>
        <v>196</v>
      </c>
      <c r="M314" s="10"/>
    </row>
    <row r="315" spans="2:12" ht="18">
      <c r="B315" s="3" t="s">
        <v>157</v>
      </c>
      <c r="C315" s="7"/>
      <c r="D315" s="6"/>
      <c r="E315" s="6"/>
      <c r="F315" s="6"/>
      <c r="G315" s="6"/>
      <c r="H315" s="6"/>
      <c r="I315" s="6"/>
      <c r="J315" s="6"/>
      <c r="K315" s="6"/>
      <c r="L315" s="6"/>
    </row>
    <row r="316" spans="2:12" ht="18">
      <c r="B316" s="3" t="s">
        <v>158</v>
      </c>
      <c r="C316" s="7" t="s">
        <v>22</v>
      </c>
      <c r="D316" s="6">
        <v>799.63</v>
      </c>
      <c r="E316" s="6">
        <v>18.368</v>
      </c>
      <c r="F316" s="6">
        <v>108</v>
      </c>
      <c r="G316" s="6">
        <v>110</v>
      </c>
      <c r="H316" s="6">
        <v>118</v>
      </c>
      <c r="I316" s="6">
        <v>121</v>
      </c>
      <c r="J316" s="6">
        <v>129</v>
      </c>
      <c r="K316" s="6">
        <v>130</v>
      </c>
      <c r="L316" s="6">
        <v>138</v>
      </c>
    </row>
    <row r="317" spans="2:12" ht="18">
      <c r="B317" s="3" t="s">
        <v>159</v>
      </c>
      <c r="C317" s="7" t="s">
        <v>22</v>
      </c>
      <c r="D317" s="6">
        <v>50.3</v>
      </c>
      <c r="E317" s="6">
        <v>296.39</v>
      </c>
      <c r="F317" s="6">
        <v>643.4</v>
      </c>
      <c r="G317" s="6">
        <v>40.5</v>
      </c>
      <c r="H317" s="6">
        <v>41</v>
      </c>
      <c r="I317" s="6">
        <v>46</v>
      </c>
      <c r="J317" s="6">
        <v>51</v>
      </c>
      <c r="K317" s="6">
        <v>56</v>
      </c>
      <c r="L317" s="6">
        <v>58</v>
      </c>
    </row>
    <row r="318" spans="2:12" ht="34.5" customHeight="1">
      <c r="B318" s="86" t="s">
        <v>368</v>
      </c>
      <c r="C318" s="87"/>
      <c r="D318" s="87"/>
      <c r="E318" s="87"/>
      <c r="F318" s="87"/>
      <c r="G318" s="87"/>
      <c r="H318" s="87"/>
      <c r="I318" s="87"/>
      <c r="J318" s="87"/>
      <c r="K318" s="87"/>
      <c r="L318" s="88"/>
    </row>
    <row r="319" spans="2:12" ht="34.5">
      <c r="B319" s="2" t="s">
        <v>336</v>
      </c>
      <c r="C319" s="7" t="s">
        <v>22</v>
      </c>
      <c r="D319" s="35">
        <f>D321+D334+D335</f>
        <v>3801.0999999999995</v>
      </c>
      <c r="E319" s="35">
        <f aca="true" t="shared" si="7" ref="E319:K319">E321+E334+E335</f>
        <v>3359</v>
      </c>
      <c r="F319" s="35">
        <f t="shared" si="7"/>
        <v>3596.4000000000005</v>
      </c>
      <c r="G319" s="35">
        <f t="shared" si="7"/>
        <v>2622</v>
      </c>
      <c r="H319" s="35">
        <f>H321+H334+H335</f>
        <v>2622</v>
      </c>
      <c r="I319" s="35">
        <f t="shared" si="7"/>
        <v>2654.5</v>
      </c>
      <c r="J319" s="35">
        <f>J321+J334+J335</f>
        <v>2654.5</v>
      </c>
      <c r="K319" s="35">
        <f t="shared" si="7"/>
        <v>2663.3999999999996</v>
      </c>
      <c r="L319" s="35">
        <f>L321+L334+L335</f>
        <v>2663.3999999999996</v>
      </c>
    </row>
    <row r="320" spans="2:12" ht="18">
      <c r="B320" s="39" t="s">
        <v>324</v>
      </c>
      <c r="C320" s="40" t="s">
        <v>160</v>
      </c>
      <c r="D320" s="36">
        <f>D321+D334</f>
        <v>1504.1999999999998</v>
      </c>
      <c r="E320" s="36">
        <f aca="true" t="shared" si="8" ref="E320:K320">E321+E334</f>
        <v>1218.1</v>
      </c>
      <c r="F320" s="36">
        <f t="shared" si="8"/>
        <v>919.2</v>
      </c>
      <c r="G320" s="36">
        <f t="shared" si="8"/>
        <v>698.9000000000001</v>
      </c>
      <c r="H320" s="36">
        <f>H321+H334</f>
        <v>698.9000000000001</v>
      </c>
      <c r="I320" s="36">
        <f t="shared" si="8"/>
        <v>711.3000000000001</v>
      </c>
      <c r="J320" s="36">
        <f>J321+J334</f>
        <v>711.3000000000001</v>
      </c>
      <c r="K320" s="36">
        <f t="shared" si="8"/>
        <v>720.2</v>
      </c>
      <c r="L320" s="36">
        <f>L321+L334</f>
        <v>720.2</v>
      </c>
    </row>
    <row r="321" spans="2:12" ht="34.5">
      <c r="B321" s="41" t="s">
        <v>337</v>
      </c>
      <c r="C321" s="40" t="s">
        <v>160</v>
      </c>
      <c r="D321" s="36">
        <f>D323+D324+D325+D326+D327+D328+D330+D329+D331+D332+D333</f>
        <v>899.4</v>
      </c>
      <c r="E321" s="36">
        <f aca="true" t="shared" si="9" ref="E321:K321">E323+E324+E325+E326+E327+E328+E330+E329+E331+E332+E333</f>
        <v>794.6</v>
      </c>
      <c r="F321" s="36">
        <f t="shared" si="9"/>
        <v>806.2</v>
      </c>
      <c r="G321" s="37">
        <f t="shared" si="9"/>
        <v>626.7</v>
      </c>
      <c r="H321" s="37">
        <f>H323+H324+H325+H326+H327+H328+H330+H329+H331+H332+H333</f>
        <v>626.7</v>
      </c>
      <c r="I321" s="36">
        <f t="shared" si="9"/>
        <v>633.9000000000001</v>
      </c>
      <c r="J321" s="36">
        <f>J323+J324+J325+J326+J327+J328+J330+J329+J331+J332+J333</f>
        <v>633.9000000000001</v>
      </c>
      <c r="K321" s="36">
        <f t="shared" si="9"/>
        <v>642.9000000000001</v>
      </c>
      <c r="L321" s="36">
        <f>L323+L324+L325+L326+L327+L328+L330+L329+L331+L332+L333</f>
        <v>642.9000000000001</v>
      </c>
    </row>
    <row r="322" spans="2:12" ht="18">
      <c r="B322" s="39" t="s">
        <v>41</v>
      </c>
      <c r="C322" s="40"/>
      <c r="D322" s="36"/>
      <c r="E322" s="42"/>
      <c r="F322" s="42"/>
      <c r="G322" s="42"/>
      <c r="H322" s="42"/>
      <c r="I322" s="42"/>
      <c r="J322" s="42"/>
      <c r="K322" s="42"/>
      <c r="L322" s="42"/>
    </row>
    <row r="323" spans="2:12" ht="18">
      <c r="B323" s="39" t="s">
        <v>1</v>
      </c>
      <c r="C323" s="40" t="s">
        <v>160</v>
      </c>
      <c r="D323" s="36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</row>
    <row r="324" spans="2:12" ht="18">
      <c r="B324" s="39" t="s">
        <v>2</v>
      </c>
      <c r="C324" s="40" t="s">
        <v>160</v>
      </c>
      <c r="D324" s="36">
        <v>792.1</v>
      </c>
      <c r="E324" s="42">
        <v>671.4</v>
      </c>
      <c r="F324" s="42">
        <v>680.7</v>
      </c>
      <c r="G324" s="42">
        <v>504.3</v>
      </c>
      <c r="H324" s="42">
        <v>504.3</v>
      </c>
      <c r="I324" s="42">
        <v>519.3</v>
      </c>
      <c r="J324" s="42">
        <v>519.3</v>
      </c>
      <c r="K324" s="42">
        <v>535</v>
      </c>
      <c r="L324" s="42">
        <v>535</v>
      </c>
    </row>
    <row r="325" spans="2:12" ht="18">
      <c r="B325" s="39" t="s">
        <v>3</v>
      </c>
      <c r="C325" s="40" t="s">
        <v>160</v>
      </c>
      <c r="D325" s="36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</row>
    <row r="326" spans="2:12" ht="18" customHeight="1">
      <c r="B326" s="39" t="s">
        <v>74</v>
      </c>
      <c r="C326" s="40" t="s">
        <v>160</v>
      </c>
      <c r="D326" s="36">
        <v>0</v>
      </c>
      <c r="E326" s="42">
        <v>18.8</v>
      </c>
      <c r="F326" s="42">
        <v>19.1</v>
      </c>
      <c r="G326" s="42">
        <v>20.6</v>
      </c>
      <c r="H326" s="42">
        <v>20.6</v>
      </c>
      <c r="I326" s="42">
        <v>20.6</v>
      </c>
      <c r="J326" s="42">
        <v>20.6</v>
      </c>
      <c r="K326" s="42">
        <v>20.6</v>
      </c>
      <c r="L326" s="42">
        <v>20.6</v>
      </c>
    </row>
    <row r="327" spans="2:12" ht="36">
      <c r="B327" s="39" t="s">
        <v>349</v>
      </c>
      <c r="C327" s="40" t="s">
        <v>160</v>
      </c>
      <c r="D327" s="36">
        <v>72</v>
      </c>
      <c r="E327" s="42">
        <v>87.7</v>
      </c>
      <c r="F327" s="42">
        <v>91.7</v>
      </c>
      <c r="G327" s="42">
        <v>86.7</v>
      </c>
      <c r="H327" s="42">
        <v>86.7</v>
      </c>
      <c r="I327" s="42">
        <v>78.2</v>
      </c>
      <c r="J327" s="42">
        <v>78.2</v>
      </c>
      <c r="K327" s="42">
        <v>71.2</v>
      </c>
      <c r="L327" s="42">
        <v>71.2</v>
      </c>
    </row>
    <row r="328" spans="2:12" ht="18">
      <c r="B328" s="39" t="s">
        <v>4</v>
      </c>
      <c r="C328" s="40" t="s">
        <v>160</v>
      </c>
      <c r="D328" s="36">
        <v>3.3</v>
      </c>
      <c r="E328" s="42">
        <v>3.7</v>
      </c>
      <c r="F328" s="42">
        <v>3.9</v>
      </c>
      <c r="G328" s="42">
        <v>4</v>
      </c>
      <c r="H328" s="42">
        <v>4</v>
      </c>
      <c r="I328" s="42">
        <v>4.5</v>
      </c>
      <c r="J328" s="42">
        <v>4.5</v>
      </c>
      <c r="K328" s="42">
        <v>4.8</v>
      </c>
      <c r="L328" s="42">
        <v>4.8</v>
      </c>
    </row>
    <row r="329" spans="2:12" ht="18">
      <c r="B329" s="39" t="s">
        <v>5</v>
      </c>
      <c r="C329" s="40" t="s">
        <v>160</v>
      </c>
      <c r="D329" s="36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</row>
    <row r="330" spans="2:12" ht="18">
      <c r="B330" s="39" t="s">
        <v>6</v>
      </c>
      <c r="C330" s="40" t="s">
        <v>160</v>
      </c>
      <c r="D330" s="36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</row>
    <row r="331" spans="2:12" ht="18">
      <c r="B331" s="39" t="s">
        <v>7</v>
      </c>
      <c r="C331" s="40" t="s">
        <v>160</v>
      </c>
      <c r="D331" s="36">
        <v>24.4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</row>
    <row r="332" spans="2:12" ht="18">
      <c r="B332" s="39" t="s">
        <v>8</v>
      </c>
      <c r="C332" s="40" t="s">
        <v>160</v>
      </c>
      <c r="D332" s="36">
        <v>3.4</v>
      </c>
      <c r="E332" s="42">
        <v>7.6</v>
      </c>
      <c r="F332" s="42">
        <v>7.9</v>
      </c>
      <c r="G332" s="42">
        <v>8.1</v>
      </c>
      <c r="H332" s="42">
        <v>8.1</v>
      </c>
      <c r="I332" s="42">
        <v>8.1</v>
      </c>
      <c r="J332" s="42">
        <v>8.1</v>
      </c>
      <c r="K332" s="42">
        <v>8.1</v>
      </c>
      <c r="L332" s="42">
        <v>8.1</v>
      </c>
    </row>
    <row r="333" spans="2:12" ht="18">
      <c r="B333" s="39" t="s">
        <v>350</v>
      </c>
      <c r="C333" s="40" t="s">
        <v>160</v>
      </c>
      <c r="D333" s="36">
        <v>4.2</v>
      </c>
      <c r="E333" s="42">
        <v>5.4</v>
      </c>
      <c r="F333" s="42">
        <v>2.9</v>
      </c>
      <c r="G333" s="42">
        <v>3</v>
      </c>
      <c r="H333" s="42">
        <v>3</v>
      </c>
      <c r="I333" s="42">
        <v>3.2</v>
      </c>
      <c r="J333" s="42">
        <v>3.2</v>
      </c>
      <c r="K333" s="42">
        <v>3.2</v>
      </c>
      <c r="L333" s="42">
        <v>3.2</v>
      </c>
    </row>
    <row r="334" spans="2:12" ht="17.25">
      <c r="B334" s="1" t="s">
        <v>9</v>
      </c>
      <c r="C334" s="7" t="s">
        <v>160</v>
      </c>
      <c r="D334" s="35">
        <v>604.8</v>
      </c>
      <c r="E334" s="42">
        <v>423.5</v>
      </c>
      <c r="F334" s="42">
        <v>113</v>
      </c>
      <c r="G334" s="42">
        <v>72.2</v>
      </c>
      <c r="H334" s="42">
        <v>72.2</v>
      </c>
      <c r="I334" s="42">
        <v>77.4</v>
      </c>
      <c r="J334" s="42">
        <v>77.4</v>
      </c>
      <c r="K334" s="42">
        <v>77.3</v>
      </c>
      <c r="L334" s="42">
        <v>77.3</v>
      </c>
    </row>
    <row r="335" spans="2:12" ht="17.25">
      <c r="B335" s="1" t="s">
        <v>254</v>
      </c>
      <c r="C335" s="7" t="s">
        <v>160</v>
      </c>
      <c r="D335" s="35">
        <f>D337+D338+D339+D342+D343+D344</f>
        <v>2296.8999999999996</v>
      </c>
      <c r="E335" s="35">
        <f aca="true" t="shared" si="10" ref="E335:K335">E337+E338+E339+E342+E343+E344</f>
        <v>2140.9</v>
      </c>
      <c r="F335" s="35">
        <f t="shared" si="10"/>
        <v>2677.2000000000003</v>
      </c>
      <c r="G335" s="35">
        <f t="shared" si="10"/>
        <v>1923.1</v>
      </c>
      <c r="H335" s="35">
        <f>H337+H338+H339+H342+H343+H344</f>
        <v>1923.1</v>
      </c>
      <c r="I335" s="35">
        <f t="shared" si="10"/>
        <v>1943.1999999999998</v>
      </c>
      <c r="J335" s="35">
        <f>J337+J338+J339+J342+J343+J344</f>
        <v>1943.1999999999998</v>
      </c>
      <c r="K335" s="35">
        <f t="shared" si="10"/>
        <v>1943.1999999999998</v>
      </c>
      <c r="L335" s="35">
        <f>L337+L338+L339+L342+L343+L344</f>
        <v>1943.1999999999998</v>
      </c>
    </row>
    <row r="336" spans="2:12" ht="18">
      <c r="B336" s="3" t="s">
        <v>41</v>
      </c>
      <c r="C336" s="7"/>
      <c r="D336" s="35"/>
      <c r="E336" s="42"/>
      <c r="F336" s="42"/>
      <c r="G336" s="42"/>
      <c r="H336" s="42"/>
      <c r="I336" s="42"/>
      <c r="J336" s="42"/>
      <c r="K336" s="42"/>
      <c r="L336" s="42"/>
    </row>
    <row r="337" spans="2:12" ht="18">
      <c r="B337" s="3" t="s">
        <v>351</v>
      </c>
      <c r="C337" s="7" t="s">
        <v>160</v>
      </c>
      <c r="D337" s="35">
        <v>893.8</v>
      </c>
      <c r="E337" s="42">
        <v>647.1</v>
      </c>
      <c r="F337" s="42">
        <v>1095.2</v>
      </c>
      <c r="G337" s="42">
        <v>266.8</v>
      </c>
      <c r="H337" s="42">
        <v>266.8</v>
      </c>
      <c r="I337" s="42">
        <v>180.5</v>
      </c>
      <c r="J337" s="42">
        <v>180.5</v>
      </c>
      <c r="K337" s="42">
        <v>180.5</v>
      </c>
      <c r="L337" s="42">
        <v>180.5</v>
      </c>
    </row>
    <row r="338" spans="2:12" ht="18">
      <c r="B338" s="3" t="s">
        <v>352</v>
      </c>
      <c r="C338" s="7" t="s">
        <v>160</v>
      </c>
      <c r="D338" s="35">
        <v>847.8</v>
      </c>
      <c r="E338" s="42">
        <v>1021.3</v>
      </c>
      <c r="F338" s="42">
        <v>1169.4</v>
      </c>
      <c r="G338" s="42">
        <v>1321.8</v>
      </c>
      <c r="H338" s="42">
        <v>1321.8</v>
      </c>
      <c r="I338" s="42">
        <v>1418.8</v>
      </c>
      <c r="J338" s="42">
        <v>1418.8</v>
      </c>
      <c r="K338" s="42">
        <v>1418.8</v>
      </c>
      <c r="L338" s="42">
        <v>1418.8</v>
      </c>
    </row>
    <row r="339" spans="2:12" ht="18">
      <c r="B339" s="3" t="s">
        <v>353</v>
      </c>
      <c r="C339" s="7" t="s">
        <v>160</v>
      </c>
      <c r="D339" s="35">
        <v>560.8</v>
      </c>
      <c r="E339" s="42">
        <v>387.7</v>
      </c>
      <c r="F339" s="42">
        <v>251.4</v>
      </c>
      <c r="G339" s="42">
        <f aca="true" t="shared" si="11" ref="G339:L339">G341</f>
        <v>325.8</v>
      </c>
      <c r="H339" s="42">
        <f t="shared" si="11"/>
        <v>325.8</v>
      </c>
      <c r="I339" s="42">
        <f t="shared" si="11"/>
        <v>335.8</v>
      </c>
      <c r="J339" s="42">
        <f t="shared" si="11"/>
        <v>335.8</v>
      </c>
      <c r="K339" s="42">
        <f t="shared" si="11"/>
        <v>335.8</v>
      </c>
      <c r="L339" s="42">
        <f t="shared" si="11"/>
        <v>335.8</v>
      </c>
    </row>
    <row r="340" spans="2:12" ht="18">
      <c r="B340" s="3" t="s">
        <v>41</v>
      </c>
      <c r="C340" s="43"/>
      <c r="D340" s="38"/>
      <c r="E340" s="42"/>
      <c r="F340" s="42"/>
      <c r="G340" s="42"/>
      <c r="H340" s="42"/>
      <c r="I340" s="42"/>
      <c r="J340" s="42"/>
      <c r="K340" s="42"/>
      <c r="L340" s="42"/>
    </row>
    <row r="341" spans="2:12" ht="18">
      <c r="B341" s="3" t="s">
        <v>255</v>
      </c>
      <c r="C341" s="7" t="s">
        <v>160</v>
      </c>
      <c r="D341" s="35">
        <v>257.8</v>
      </c>
      <c r="E341" s="42">
        <v>146.8</v>
      </c>
      <c r="F341" s="42">
        <v>155.4</v>
      </c>
      <c r="G341" s="42">
        <f>162.9+162.9</f>
        <v>325.8</v>
      </c>
      <c r="H341" s="42">
        <f>162.9+162.9</f>
        <v>325.8</v>
      </c>
      <c r="I341" s="42">
        <f>167.9+167.9</f>
        <v>335.8</v>
      </c>
      <c r="J341" s="42">
        <f>167.9+167.9</f>
        <v>335.8</v>
      </c>
      <c r="K341" s="42">
        <f>167.9+167.9</f>
        <v>335.8</v>
      </c>
      <c r="L341" s="42">
        <f>167.9+167.9</f>
        <v>335.8</v>
      </c>
    </row>
    <row r="342" spans="2:12" ht="18">
      <c r="B342" s="3" t="s">
        <v>354</v>
      </c>
      <c r="C342" s="7" t="s">
        <v>160</v>
      </c>
      <c r="D342" s="35">
        <v>65.7</v>
      </c>
      <c r="E342" s="42">
        <v>33.1</v>
      </c>
      <c r="F342" s="42">
        <v>128.1</v>
      </c>
      <c r="G342" s="42">
        <v>8.7</v>
      </c>
      <c r="H342" s="42">
        <v>8.7</v>
      </c>
      <c r="I342" s="42">
        <v>8.1</v>
      </c>
      <c r="J342" s="42">
        <v>8.1</v>
      </c>
      <c r="K342" s="42">
        <v>8.1</v>
      </c>
      <c r="L342" s="42">
        <v>8.1</v>
      </c>
    </row>
    <row r="343" spans="2:12" ht="18">
      <c r="B343" s="3" t="s">
        <v>355</v>
      </c>
      <c r="C343" s="7" t="s">
        <v>160</v>
      </c>
      <c r="D343" s="35">
        <v>28.4</v>
      </c>
      <c r="E343" s="42">
        <v>51.9</v>
      </c>
      <c r="F343" s="42">
        <v>39.5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</row>
    <row r="344" spans="2:12" ht="36">
      <c r="B344" s="3" t="s">
        <v>356</v>
      </c>
      <c r="C344" s="7" t="s">
        <v>160</v>
      </c>
      <c r="D344" s="35">
        <v>-99.6</v>
      </c>
      <c r="E344" s="42">
        <v>-0.2</v>
      </c>
      <c r="F344" s="42">
        <v>-6.4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</row>
    <row r="345" spans="2:12" ht="34.5">
      <c r="B345" s="2" t="s">
        <v>338</v>
      </c>
      <c r="C345" s="7" t="s">
        <v>160</v>
      </c>
      <c r="D345" s="35">
        <f>D347+D348+D349+D350+D351+D352+D353+D354+D355+D356+D357+D358+D359</f>
        <v>4169.2</v>
      </c>
      <c r="E345" s="35">
        <f aca="true" t="shared" si="12" ref="E345:K345">E347+E348+E349+E350+E351+E352+E353+E354+E355+E356+E357+E358+E359</f>
        <v>3434.500000000001</v>
      </c>
      <c r="F345" s="35">
        <f t="shared" si="12"/>
        <v>3782.75</v>
      </c>
      <c r="G345" s="35">
        <f t="shared" si="12"/>
        <v>2691.9000000000005</v>
      </c>
      <c r="H345" s="35">
        <f>H347+H348+H349+H350+H351+H352+H353+H354+H355+H356+H357+H358+H359</f>
        <v>2691.9000000000005</v>
      </c>
      <c r="I345" s="35">
        <f t="shared" si="12"/>
        <v>2725.6</v>
      </c>
      <c r="J345" s="35">
        <f>J347+J348+J349+J350+J351+J352+J353+J354+J355+J356+J357+J358+J359</f>
        <v>2725.6</v>
      </c>
      <c r="K345" s="35">
        <f t="shared" si="12"/>
        <v>2735.3999999999996</v>
      </c>
      <c r="L345" s="35">
        <f>L347+L348+L349+L350+L351+L352+L353+L354+L355+L356+L357+L358+L359</f>
        <v>2735.3999999999996</v>
      </c>
    </row>
    <row r="346" spans="2:12" ht="18">
      <c r="B346" s="44" t="s">
        <v>0</v>
      </c>
      <c r="C346" s="40"/>
      <c r="D346" s="36"/>
      <c r="E346" s="42"/>
      <c r="F346" s="42"/>
      <c r="G346" s="42"/>
      <c r="H346" s="42"/>
      <c r="I346" s="42"/>
      <c r="J346" s="42"/>
      <c r="K346" s="42"/>
      <c r="L346" s="42"/>
    </row>
    <row r="347" spans="2:12" ht="18">
      <c r="B347" s="39" t="s">
        <v>256</v>
      </c>
      <c r="C347" s="40" t="s">
        <v>160</v>
      </c>
      <c r="D347" s="36">
        <v>325.5</v>
      </c>
      <c r="E347" s="42">
        <v>325.9</v>
      </c>
      <c r="F347" s="42">
        <v>362.1</v>
      </c>
      <c r="G347" s="42">
        <v>353.5</v>
      </c>
      <c r="H347" s="42">
        <v>353.5</v>
      </c>
      <c r="I347" s="42">
        <v>395.9</v>
      </c>
      <c r="J347" s="42">
        <v>395.9</v>
      </c>
      <c r="K347" s="42">
        <v>395.9</v>
      </c>
      <c r="L347" s="42">
        <v>395.9</v>
      </c>
    </row>
    <row r="348" spans="2:12" ht="18">
      <c r="B348" s="39" t="s">
        <v>257</v>
      </c>
      <c r="C348" s="40" t="s">
        <v>160</v>
      </c>
      <c r="D348" s="36">
        <v>1.9</v>
      </c>
      <c r="E348" s="42">
        <v>2.7</v>
      </c>
      <c r="F348" s="42">
        <v>2</v>
      </c>
      <c r="G348" s="42">
        <v>1.9</v>
      </c>
      <c r="H348" s="42">
        <v>1.9</v>
      </c>
      <c r="I348" s="42">
        <v>1.9</v>
      </c>
      <c r="J348" s="42">
        <v>1.9</v>
      </c>
      <c r="K348" s="42">
        <v>1.9</v>
      </c>
      <c r="L348" s="42">
        <v>1.9</v>
      </c>
    </row>
    <row r="349" spans="2:12" ht="18">
      <c r="B349" s="39" t="s">
        <v>258</v>
      </c>
      <c r="C349" s="40" t="s">
        <v>160</v>
      </c>
      <c r="D349" s="36">
        <v>56.2</v>
      </c>
      <c r="E349" s="42">
        <v>30.4</v>
      </c>
      <c r="F349" s="42">
        <v>55.9</v>
      </c>
      <c r="G349" s="42">
        <v>18.5</v>
      </c>
      <c r="H349" s="42">
        <v>18.5</v>
      </c>
      <c r="I349" s="42">
        <v>18.4</v>
      </c>
      <c r="J349" s="42">
        <v>18.4</v>
      </c>
      <c r="K349" s="42">
        <v>18.4</v>
      </c>
      <c r="L349" s="42">
        <v>18.4</v>
      </c>
    </row>
    <row r="350" spans="2:12" ht="18">
      <c r="B350" s="39" t="s">
        <v>259</v>
      </c>
      <c r="C350" s="40" t="s">
        <v>160</v>
      </c>
      <c r="D350" s="36">
        <v>297.3</v>
      </c>
      <c r="E350" s="42">
        <v>239.1</v>
      </c>
      <c r="F350" s="42">
        <v>197.8</v>
      </c>
      <c r="G350" s="42">
        <v>188.3</v>
      </c>
      <c r="H350" s="42">
        <v>188.3</v>
      </c>
      <c r="I350" s="42">
        <v>153.1</v>
      </c>
      <c r="J350" s="42">
        <v>153.1</v>
      </c>
      <c r="K350" s="42">
        <v>153.1</v>
      </c>
      <c r="L350" s="42">
        <v>153.1</v>
      </c>
    </row>
    <row r="351" spans="2:12" ht="18">
      <c r="B351" s="39" t="s">
        <v>260</v>
      </c>
      <c r="C351" s="40" t="s">
        <v>160</v>
      </c>
      <c r="D351" s="36">
        <v>1230.4</v>
      </c>
      <c r="E351" s="42">
        <v>932.6</v>
      </c>
      <c r="F351" s="42">
        <v>1391.9</v>
      </c>
      <c r="G351" s="42">
        <f>264.5+14.7+0.1</f>
        <v>279.3</v>
      </c>
      <c r="H351" s="42">
        <f>264.5+14.7+0.1</f>
        <v>279.3</v>
      </c>
      <c r="I351" s="42">
        <f>182.3+6.5-3.3</f>
        <v>185.5</v>
      </c>
      <c r="J351" s="42">
        <f>182.3+6.5-3.3</f>
        <v>185.5</v>
      </c>
      <c r="K351" s="42">
        <f>188.8+7.8-1.3</f>
        <v>195.3</v>
      </c>
      <c r="L351" s="42">
        <f>188.8+7.8-1.3</f>
        <v>195.3</v>
      </c>
    </row>
    <row r="352" spans="2:12" ht="18">
      <c r="B352" s="39" t="s">
        <v>261</v>
      </c>
      <c r="C352" s="40" t="s">
        <v>160</v>
      </c>
      <c r="D352" s="36">
        <v>4.5</v>
      </c>
      <c r="E352" s="42">
        <v>3.7</v>
      </c>
      <c r="F352" s="42">
        <v>60.8</v>
      </c>
      <c r="G352" s="42">
        <v>4.1</v>
      </c>
      <c r="H352" s="42">
        <v>4.1</v>
      </c>
      <c r="I352" s="42">
        <v>2.5</v>
      </c>
      <c r="J352" s="42">
        <v>2.5</v>
      </c>
      <c r="K352" s="42">
        <v>2.5</v>
      </c>
      <c r="L352" s="42">
        <v>2.5</v>
      </c>
    </row>
    <row r="353" spans="2:12" ht="18">
      <c r="B353" s="39" t="s">
        <v>161</v>
      </c>
      <c r="C353" s="40" t="s">
        <v>160</v>
      </c>
      <c r="D353" s="36">
        <v>1532.4</v>
      </c>
      <c r="E353" s="42">
        <v>1496.9</v>
      </c>
      <c r="F353" s="42">
        <v>1287.1</v>
      </c>
      <c r="G353" s="42">
        <f>1401.1+42.2+13</f>
        <v>1456.3</v>
      </c>
      <c r="H353" s="42">
        <f>1401.1+42.2+13</f>
        <v>1456.3</v>
      </c>
      <c r="I353" s="42">
        <f>1492.1+42.2+13</f>
        <v>1547.3</v>
      </c>
      <c r="J353" s="42">
        <f>1492.1+42.2+13</f>
        <v>1547.3</v>
      </c>
      <c r="K353" s="42">
        <f>1492.1+42.2+13</f>
        <v>1547.3</v>
      </c>
      <c r="L353" s="42">
        <f>1492.1+42.2+13</f>
        <v>1547.3</v>
      </c>
    </row>
    <row r="354" spans="2:12" ht="18">
      <c r="B354" s="39" t="s">
        <v>262</v>
      </c>
      <c r="C354" s="40" t="s">
        <v>160</v>
      </c>
      <c r="D354" s="36">
        <v>258.1</v>
      </c>
      <c r="E354" s="42">
        <v>145.8</v>
      </c>
      <c r="F354" s="42">
        <v>167.4</v>
      </c>
      <c r="G354" s="42">
        <v>151.9</v>
      </c>
      <c r="H354" s="42">
        <v>151.9</v>
      </c>
      <c r="I354" s="42">
        <v>169.1</v>
      </c>
      <c r="J354" s="42">
        <v>169.1</v>
      </c>
      <c r="K354" s="42">
        <v>169.1</v>
      </c>
      <c r="L354" s="42">
        <v>169.1</v>
      </c>
    </row>
    <row r="355" spans="2:12" ht="18">
      <c r="B355" s="39" t="s">
        <v>263</v>
      </c>
      <c r="C355" s="40" t="s">
        <v>160</v>
      </c>
      <c r="D355" s="36">
        <v>125.5</v>
      </c>
      <c r="E355" s="42">
        <v>0.8</v>
      </c>
      <c r="F355" s="42">
        <v>0</v>
      </c>
      <c r="G355" s="42"/>
      <c r="H355" s="42"/>
      <c r="I355" s="42"/>
      <c r="J355" s="42"/>
      <c r="K355" s="42"/>
      <c r="L355" s="42"/>
    </row>
    <row r="356" spans="2:12" ht="18">
      <c r="B356" s="39" t="s">
        <v>162</v>
      </c>
      <c r="C356" s="40" t="s">
        <v>160</v>
      </c>
      <c r="D356" s="36">
        <v>136.5</v>
      </c>
      <c r="E356" s="42">
        <v>130.5</v>
      </c>
      <c r="F356" s="42">
        <v>125.7</v>
      </c>
      <c r="G356" s="42">
        <v>120.4</v>
      </c>
      <c r="H356" s="42">
        <v>120.4</v>
      </c>
      <c r="I356" s="42">
        <v>133.3</v>
      </c>
      <c r="J356" s="42">
        <v>133.3</v>
      </c>
      <c r="K356" s="42">
        <v>133.3</v>
      </c>
      <c r="L356" s="42">
        <v>133.3</v>
      </c>
    </row>
    <row r="357" spans="2:12" ht="18">
      <c r="B357" s="39" t="s">
        <v>264</v>
      </c>
      <c r="C357" s="40" t="s">
        <v>160</v>
      </c>
      <c r="D357" s="36">
        <v>184.7</v>
      </c>
      <c r="E357" s="42">
        <v>109.8</v>
      </c>
      <c r="F357" s="42">
        <v>115.3</v>
      </c>
      <c r="G357" s="42">
        <v>101.3</v>
      </c>
      <c r="H357" s="42">
        <v>101.3</v>
      </c>
      <c r="I357" s="42">
        <v>102.2</v>
      </c>
      <c r="J357" s="42">
        <v>102.2</v>
      </c>
      <c r="K357" s="42">
        <v>102.2</v>
      </c>
      <c r="L357" s="42">
        <v>102.2</v>
      </c>
    </row>
    <row r="358" spans="2:12" ht="18">
      <c r="B358" s="39" t="s">
        <v>265</v>
      </c>
      <c r="C358" s="40" t="s">
        <v>160</v>
      </c>
      <c r="D358" s="36">
        <v>16.2</v>
      </c>
      <c r="E358" s="42">
        <v>16.3</v>
      </c>
      <c r="F358" s="42">
        <v>16.7</v>
      </c>
      <c r="G358" s="42">
        <v>16.3</v>
      </c>
      <c r="H358" s="42">
        <v>16.3</v>
      </c>
      <c r="I358" s="42">
        <v>16.3</v>
      </c>
      <c r="J358" s="42">
        <v>16.3</v>
      </c>
      <c r="K358" s="42">
        <v>16.3</v>
      </c>
      <c r="L358" s="42">
        <v>16.3</v>
      </c>
    </row>
    <row r="359" spans="2:12" ht="18">
      <c r="B359" s="39" t="s">
        <v>266</v>
      </c>
      <c r="C359" s="40" t="s">
        <v>160</v>
      </c>
      <c r="D359" s="36">
        <v>0</v>
      </c>
      <c r="E359" s="42">
        <v>0</v>
      </c>
      <c r="F359" s="42">
        <v>0.05</v>
      </c>
      <c r="G359" s="42">
        <v>0.1</v>
      </c>
      <c r="H359" s="42">
        <v>0.1</v>
      </c>
      <c r="I359" s="42">
        <v>0.1</v>
      </c>
      <c r="J359" s="42">
        <v>0.1</v>
      </c>
      <c r="K359" s="42">
        <v>0.1</v>
      </c>
      <c r="L359" s="42">
        <v>0.1</v>
      </c>
    </row>
    <row r="360" spans="2:12" ht="36">
      <c r="B360" s="4" t="s">
        <v>163</v>
      </c>
      <c r="C360" s="7" t="s">
        <v>160</v>
      </c>
      <c r="D360" s="35">
        <f>D319-D345</f>
        <v>-368.10000000000036</v>
      </c>
      <c r="E360" s="35">
        <f aca="true" t="shared" si="13" ref="E360:K360">E319-E345</f>
        <v>-75.50000000000091</v>
      </c>
      <c r="F360" s="35">
        <f t="shared" si="13"/>
        <v>-186.34999999999945</v>
      </c>
      <c r="G360" s="35">
        <f t="shared" si="13"/>
        <v>-69.90000000000055</v>
      </c>
      <c r="H360" s="35">
        <f>H319-H345</f>
        <v>-69.90000000000055</v>
      </c>
      <c r="I360" s="35">
        <f t="shared" si="13"/>
        <v>-71.09999999999991</v>
      </c>
      <c r="J360" s="35">
        <f>J319-J345</f>
        <v>-71.09999999999991</v>
      </c>
      <c r="K360" s="35">
        <f t="shared" si="13"/>
        <v>-72</v>
      </c>
      <c r="L360" s="35">
        <f>L319-L345</f>
        <v>-72</v>
      </c>
    </row>
    <row r="361" spans="2:12" ht="17.25">
      <c r="B361" s="2" t="s">
        <v>373</v>
      </c>
      <c r="C361" s="7" t="s">
        <v>160</v>
      </c>
      <c r="D361" s="35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</row>
    <row r="362" spans="2:12" ht="15">
      <c r="B362" s="86" t="s">
        <v>369</v>
      </c>
      <c r="C362" s="87"/>
      <c r="D362" s="87"/>
      <c r="E362" s="87"/>
      <c r="F362" s="87"/>
      <c r="G362" s="87"/>
      <c r="H362" s="87"/>
      <c r="I362" s="87"/>
      <c r="J362" s="87"/>
      <c r="K362" s="87"/>
      <c r="L362" s="88"/>
    </row>
    <row r="363" spans="2:12" ht="17.25">
      <c r="B363" s="1" t="s">
        <v>164</v>
      </c>
      <c r="C363" s="7" t="s">
        <v>160</v>
      </c>
      <c r="D363" s="51">
        <v>13741.1669228</v>
      </c>
      <c r="E363" s="6">
        <f aca="true" t="shared" si="14" ref="E363:L363">E365+E366+E367+E368+E369</f>
        <v>15540.865981808</v>
      </c>
      <c r="F363" s="6">
        <f t="shared" si="14"/>
        <v>17351.4564834048</v>
      </c>
      <c r="G363" s="6">
        <f t="shared" si="14"/>
        <v>18980.082506991235</v>
      </c>
      <c r="H363" s="6">
        <f t="shared" si="14"/>
        <v>19146.317178945283</v>
      </c>
      <c r="I363" s="6">
        <f t="shared" si="14"/>
        <v>20429.518052968622</v>
      </c>
      <c r="J363" s="6">
        <f t="shared" si="14"/>
        <v>20943.188174282357</v>
      </c>
      <c r="K363" s="6">
        <f t="shared" si="14"/>
        <v>21982.61187967803</v>
      </c>
      <c r="L363" s="6">
        <f t="shared" si="14"/>
        <v>22887.228659792094</v>
      </c>
    </row>
    <row r="364" spans="2:12" ht="18">
      <c r="B364" s="3" t="s">
        <v>41</v>
      </c>
      <c r="C364" s="7"/>
      <c r="D364" s="7"/>
      <c r="E364" s="6"/>
      <c r="F364" s="6"/>
      <c r="G364" s="6"/>
      <c r="H364" s="6"/>
      <c r="I364" s="6"/>
      <c r="J364" s="6"/>
      <c r="K364" s="6"/>
      <c r="L364" s="6"/>
    </row>
    <row r="365" spans="2:12" ht="18">
      <c r="B365" s="3" t="s">
        <v>165</v>
      </c>
      <c r="C365" s="7" t="s">
        <v>160</v>
      </c>
      <c r="D365" s="51">
        <f>D366*11%</f>
        <v>1023.17281</v>
      </c>
      <c r="E365" s="6">
        <f>E366*11%</f>
        <v>1151.49496</v>
      </c>
      <c r="F365" s="6">
        <f>F366*10%</f>
        <v>1172.4312320000001</v>
      </c>
      <c r="G365" s="6">
        <f aca="true" t="shared" si="15" ref="G365:L365">G366*9.5%</f>
        <v>1214.052540736</v>
      </c>
      <c r="H365" s="6">
        <f t="shared" si="15"/>
        <v>1225.1906374400003</v>
      </c>
      <c r="I365" s="6">
        <f t="shared" si="15"/>
        <v>1299.0362185875204</v>
      </c>
      <c r="J365" s="6">
        <f t="shared" si="15"/>
        <v>1335.4577948096003</v>
      </c>
      <c r="K365" s="6">
        <f t="shared" si="15"/>
        <v>1389.968753888647</v>
      </c>
      <c r="L365" s="6">
        <f t="shared" si="15"/>
        <v>1455.6489963424644</v>
      </c>
    </row>
    <row r="366" spans="2:12" ht="18">
      <c r="B366" s="3" t="s">
        <v>166</v>
      </c>
      <c r="C366" s="7" t="s">
        <v>160</v>
      </c>
      <c r="D366" s="51">
        <v>9301.571</v>
      </c>
      <c r="E366" s="6">
        <v>10468.136</v>
      </c>
      <c r="F366" s="6">
        <v>11724.31232</v>
      </c>
      <c r="G366" s="6">
        <v>12779.500428800002</v>
      </c>
      <c r="H366" s="6">
        <v>12896.743552000002</v>
      </c>
      <c r="I366" s="6">
        <v>13674.065458816003</v>
      </c>
      <c r="J366" s="6">
        <v>14057.450471680002</v>
      </c>
      <c r="K366" s="6">
        <v>14631.250040933124</v>
      </c>
      <c r="L366" s="6">
        <v>15322.621014131204</v>
      </c>
    </row>
    <row r="367" spans="2:12" ht="36">
      <c r="B367" s="3" t="s">
        <v>167</v>
      </c>
      <c r="C367" s="7" t="s">
        <v>160</v>
      </c>
      <c r="D367" s="51">
        <f>D366*11.989%</f>
        <v>1115.1653471900001</v>
      </c>
      <c r="E367" s="51">
        <f aca="true" t="shared" si="16" ref="E367:L367">E366*11.989%</f>
        <v>1255.0248250400002</v>
      </c>
      <c r="F367" s="51">
        <f t="shared" si="16"/>
        <v>1405.6278040448003</v>
      </c>
      <c r="G367" s="51">
        <f t="shared" si="16"/>
        <v>1532.1343064088323</v>
      </c>
      <c r="H367" s="51">
        <f t="shared" si="16"/>
        <v>1546.1905844492803</v>
      </c>
      <c r="I367" s="51">
        <f t="shared" si="16"/>
        <v>1639.3837078574509</v>
      </c>
      <c r="J367" s="51">
        <f t="shared" si="16"/>
        <v>1685.3477370497155</v>
      </c>
      <c r="K367" s="51">
        <f t="shared" si="16"/>
        <v>1754.1405674074724</v>
      </c>
      <c r="L367" s="51">
        <f t="shared" si="16"/>
        <v>1837.0290333841901</v>
      </c>
    </row>
    <row r="368" spans="2:12" ht="18">
      <c r="B368" s="3" t="s">
        <v>168</v>
      </c>
      <c r="C368" s="7" t="s">
        <v>160</v>
      </c>
      <c r="D368" s="25">
        <f>D366*7.8%</f>
        <v>725.5225379999999</v>
      </c>
      <c r="E368" s="25">
        <f aca="true" t="shared" si="17" ref="E368:L368">E366*7.8%</f>
        <v>816.5146080000001</v>
      </c>
      <c r="F368" s="25">
        <f t="shared" si="17"/>
        <v>914.4963609600001</v>
      </c>
      <c r="G368" s="25">
        <f t="shared" si="17"/>
        <v>996.8010334464002</v>
      </c>
      <c r="H368" s="51">
        <f t="shared" si="17"/>
        <v>1005.9459970560001</v>
      </c>
      <c r="I368" s="51">
        <f t="shared" si="17"/>
        <v>1066.5771057876482</v>
      </c>
      <c r="J368" s="51">
        <f t="shared" si="17"/>
        <v>1096.4811367910402</v>
      </c>
      <c r="K368" s="51">
        <f t="shared" si="17"/>
        <v>1141.2375031927836</v>
      </c>
      <c r="L368" s="51">
        <f t="shared" si="17"/>
        <v>1195.164439102234</v>
      </c>
    </row>
    <row r="369" spans="2:12" ht="18">
      <c r="B369" s="3" t="s">
        <v>169</v>
      </c>
      <c r="C369" s="7" t="s">
        <v>160</v>
      </c>
      <c r="D369" s="51">
        <v>1550.8</v>
      </c>
      <c r="E369" s="6">
        <f aca="true" t="shared" si="18" ref="E369:L369">E371+E372+E373</f>
        <v>1849.6955887679999</v>
      </c>
      <c r="F369" s="6">
        <f t="shared" si="18"/>
        <v>2134.5887664</v>
      </c>
      <c r="G369" s="6">
        <f t="shared" si="18"/>
        <v>2457.5941976</v>
      </c>
      <c r="H369" s="6">
        <f t="shared" si="18"/>
        <v>2472.246408</v>
      </c>
      <c r="I369" s="6">
        <f t="shared" si="18"/>
        <v>2750.4555619200005</v>
      </c>
      <c r="J369" s="6">
        <f t="shared" si="18"/>
        <v>2768.4510339519998</v>
      </c>
      <c r="K369" s="6">
        <f t="shared" si="18"/>
        <v>3066.0150142559996</v>
      </c>
      <c r="L369" s="6">
        <f t="shared" si="18"/>
        <v>3076.7651768319997</v>
      </c>
    </row>
    <row r="370" spans="2:12" ht="18">
      <c r="B370" s="3" t="s">
        <v>41</v>
      </c>
      <c r="C370" s="7"/>
      <c r="D370" s="7"/>
      <c r="E370" s="6"/>
      <c r="F370" s="6"/>
      <c r="G370" s="6"/>
      <c r="H370" s="6"/>
      <c r="I370" s="6"/>
      <c r="J370" s="6"/>
      <c r="K370" s="6"/>
      <c r="L370" s="6"/>
    </row>
    <row r="371" spans="2:12" ht="18">
      <c r="B371" s="3" t="s">
        <v>170</v>
      </c>
      <c r="C371" s="7" t="s">
        <v>160</v>
      </c>
      <c r="D371" s="56">
        <f>D376*5316*12/1000000*1.2</f>
        <v>1226.4905088</v>
      </c>
      <c r="E371" s="6">
        <f>E376*6543*12/1000000*1.2</f>
        <v>1640.5955887679997</v>
      </c>
      <c r="F371" s="6">
        <f>F376*6900*12/1000000*1.2</f>
        <v>1926.6887664</v>
      </c>
      <c r="G371" s="6">
        <f>G376*7279.5*12/1000000*1.2</f>
        <v>2268.0941976</v>
      </c>
      <c r="H371" s="6">
        <f>H376*7279.5*12/1000000*1.2</f>
        <v>2275.746408</v>
      </c>
      <c r="I371" s="6">
        <f>I376*7679.87*12/1000000*1.2</f>
        <v>2559.0555619200004</v>
      </c>
      <c r="J371" s="6">
        <f>J376*7679.87*12/1000000*1.2</f>
        <v>2569.4510339519998</v>
      </c>
      <c r="K371" s="6">
        <f>K376*8102.27*12/1000000*1.2</f>
        <v>2874.465014256</v>
      </c>
      <c r="L371" s="6">
        <f>L376*8102.27*12/1000000*1.2</f>
        <v>2877.615176832</v>
      </c>
    </row>
    <row r="372" spans="2:12" ht="18">
      <c r="B372" s="3" t="s">
        <v>171</v>
      </c>
      <c r="C372" s="7" t="s">
        <v>160</v>
      </c>
      <c r="D372" s="25">
        <f>D366*3.4%</f>
        <v>316.253414</v>
      </c>
      <c r="E372" s="6">
        <v>203.4</v>
      </c>
      <c r="F372" s="6">
        <v>201.1</v>
      </c>
      <c r="G372" s="6">
        <v>182.4</v>
      </c>
      <c r="H372" s="6">
        <v>189.3</v>
      </c>
      <c r="I372" s="6">
        <v>184.1</v>
      </c>
      <c r="J372" s="6">
        <v>191.6</v>
      </c>
      <c r="K372" s="6">
        <v>184.2</v>
      </c>
      <c r="L372" s="6">
        <v>191.7</v>
      </c>
    </row>
    <row r="373" spans="2:12" ht="18">
      <c r="B373" s="3" t="s">
        <v>172</v>
      </c>
      <c r="C373" s="7" t="s">
        <v>160</v>
      </c>
      <c r="D373" s="25">
        <f>D366*0.08%</f>
        <v>7.441256800000001</v>
      </c>
      <c r="E373" s="6">
        <v>5.7</v>
      </c>
      <c r="F373" s="6">
        <v>6.8</v>
      </c>
      <c r="G373" s="6">
        <v>7.1</v>
      </c>
      <c r="H373" s="6">
        <v>7.2</v>
      </c>
      <c r="I373" s="6">
        <v>7.3</v>
      </c>
      <c r="J373" s="6">
        <v>7.4</v>
      </c>
      <c r="K373" s="6">
        <v>7.35</v>
      </c>
      <c r="L373" s="6">
        <v>7.45</v>
      </c>
    </row>
    <row r="374" spans="2:12" ht="18">
      <c r="B374" s="4" t="s">
        <v>342</v>
      </c>
      <c r="C374" s="7" t="s">
        <v>279</v>
      </c>
      <c r="D374" s="7">
        <v>105.6</v>
      </c>
      <c r="E374" s="6">
        <f>E363/(D363*E163)*10000</f>
        <v>104.91385352655887</v>
      </c>
      <c r="F374" s="6">
        <f>F363/(E363*F163)*10000</f>
        <v>96.50001062460056</v>
      </c>
      <c r="G374" s="6">
        <f>G363/(F363*G163)*10000</f>
        <v>102.23000520626164</v>
      </c>
      <c r="H374" s="6">
        <f>H363/(F363*H163)*10000</f>
        <v>103.7069079473443</v>
      </c>
      <c r="I374" s="6">
        <f>I363/(G363*I163)*10000</f>
        <v>101.06724273753615</v>
      </c>
      <c r="J374" s="6">
        <f>J363/(H363*J163)*10000</f>
        <v>103.09608220237489</v>
      </c>
      <c r="K374" s="6">
        <f>K363/(I363*K163)*10000</f>
        <v>101.9926112992943</v>
      </c>
      <c r="L374" s="6">
        <f>L363/(J363*L163)*10000</f>
        <v>103.88065369142655</v>
      </c>
    </row>
    <row r="375" spans="2:12" ht="18">
      <c r="B375" s="4" t="s">
        <v>173</v>
      </c>
      <c r="C375" s="7" t="s">
        <v>174</v>
      </c>
      <c r="D375" s="25">
        <f aca="true" t="shared" si="19" ref="D375:L375">D363/D13/12*1000</f>
        <v>38300.12855597922</v>
      </c>
      <c r="E375" s="6">
        <f t="shared" si="19"/>
        <v>43487.98405475711</v>
      </c>
      <c r="F375" s="6">
        <f t="shared" si="19"/>
        <v>48667.31873549864</v>
      </c>
      <c r="G375" s="6">
        <f t="shared" si="19"/>
        <v>53135.13428458594</v>
      </c>
      <c r="H375" s="6">
        <f t="shared" si="19"/>
        <v>53600.511693444874</v>
      </c>
      <c r="I375" s="6">
        <f t="shared" si="19"/>
        <v>57085.465504724045</v>
      </c>
      <c r="J375" s="6">
        <f t="shared" si="19"/>
        <v>58520.79539919513</v>
      </c>
      <c r="K375" s="6">
        <f t="shared" si="19"/>
        <v>61301.88814063188</v>
      </c>
      <c r="L375" s="6">
        <f t="shared" si="19"/>
        <v>63824.550914656305</v>
      </c>
    </row>
    <row r="376" spans="2:12" ht="18">
      <c r="B376" s="4" t="s">
        <v>175</v>
      </c>
      <c r="C376" s="7" t="s">
        <v>174</v>
      </c>
      <c r="D376" s="7">
        <v>16022</v>
      </c>
      <c r="E376" s="6">
        <v>17412.54</v>
      </c>
      <c r="F376" s="6">
        <v>19390.99</v>
      </c>
      <c r="G376" s="6">
        <v>21637</v>
      </c>
      <c r="H376" s="6">
        <v>21710</v>
      </c>
      <c r="I376" s="6">
        <v>23140</v>
      </c>
      <c r="J376" s="6">
        <v>23234</v>
      </c>
      <c r="K376" s="6">
        <v>24637</v>
      </c>
      <c r="L376" s="6">
        <v>24664</v>
      </c>
    </row>
    <row r="377" spans="2:12" ht="18">
      <c r="B377" s="4" t="s">
        <v>176</v>
      </c>
      <c r="C377" s="7" t="s">
        <v>279</v>
      </c>
      <c r="D377" s="7">
        <v>116.9</v>
      </c>
      <c r="E377" s="6">
        <f>E376/(D376*E163)*10000</f>
        <v>100.8153445783847</v>
      </c>
      <c r="F377" s="6">
        <f>F376/(E376*F163)*10000</f>
        <v>96.25083290319748</v>
      </c>
      <c r="G377" s="6">
        <f>G376/(F376*G163)*10000</f>
        <v>104.28294443503297</v>
      </c>
      <c r="H377" s="6">
        <f>H376/(F376*H163)*10000</f>
        <v>105.22482523247065</v>
      </c>
      <c r="I377" s="6">
        <f>I376/(G376*I163)*10000</f>
        <v>100.41918718175548</v>
      </c>
      <c r="J377" s="6">
        <f>J376/(H376*J163)*10000</f>
        <v>100.8669241666019</v>
      </c>
      <c r="K377" s="6">
        <f>K376/(I376*K163)*10000</f>
        <v>100.91878407550169</v>
      </c>
      <c r="L377" s="6">
        <f>L376/(J376*L163)*10000</f>
        <v>100.90757906581771</v>
      </c>
    </row>
    <row r="378" spans="2:12" ht="18.75" customHeight="1">
      <c r="B378" s="4" t="s">
        <v>177</v>
      </c>
      <c r="C378" s="7" t="s">
        <v>178</v>
      </c>
      <c r="D378" s="7">
        <v>10818</v>
      </c>
      <c r="E378" s="6">
        <v>12135</v>
      </c>
      <c r="F378" s="6">
        <v>14913</v>
      </c>
      <c r="G378" s="6">
        <v>16180</v>
      </c>
      <c r="H378" s="6">
        <v>16404</v>
      </c>
      <c r="I378" s="6">
        <v>17393</v>
      </c>
      <c r="J378" s="6">
        <v>17650</v>
      </c>
      <c r="K378" s="6">
        <v>18575</v>
      </c>
      <c r="L378" s="6">
        <v>18850</v>
      </c>
    </row>
    <row r="379" spans="2:12" ht="36">
      <c r="B379" s="4" t="s">
        <v>179</v>
      </c>
      <c r="C379" s="7" t="s">
        <v>180</v>
      </c>
      <c r="D379" s="45">
        <v>3.1</v>
      </c>
      <c r="E379" s="45">
        <v>2.9</v>
      </c>
      <c r="F379" s="6">
        <v>2.8</v>
      </c>
      <c r="G379" s="6">
        <v>3.3</v>
      </c>
      <c r="H379" s="6">
        <v>3.3</v>
      </c>
      <c r="I379" s="6">
        <v>3.3</v>
      </c>
      <c r="J379" s="6">
        <v>3.3</v>
      </c>
      <c r="K379" s="6">
        <v>3.3</v>
      </c>
      <c r="L379" s="6">
        <v>3.3</v>
      </c>
    </row>
    <row r="380" spans="2:12" ht="17.25">
      <c r="B380" s="1" t="s">
        <v>181</v>
      </c>
      <c r="C380" s="7" t="s">
        <v>160</v>
      </c>
      <c r="D380" s="25">
        <f>D363*78.8/100</f>
        <v>10828.0395351664</v>
      </c>
      <c r="E380" s="6">
        <f>E363*78.8/100</f>
        <v>12246.202393664704</v>
      </c>
      <c r="F380" s="6">
        <f aca="true" t="shared" si="20" ref="F380:L380">F363*78.8/100</f>
        <v>13672.94770892298</v>
      </c>
      <c r="G380" s="6">
        <f t="shared" si="20"/>
        <v>14956.305015509093</v>
      </c>
      <c r="H380" s="6">
        <f t="shared" si="20"/>
        <v>15087.297937008883</v>
      </c>
      <c r="I380" s="6">
        <f t="shared" si="20"/>
        <v>16098.460225739274</v>
      </c>
      <c r="J380" s="6">
        <f t="shared" si="20"/>
        <v>16503.232281334494</v>
      </c>
      <c r="K380" s="6">
        <f t="shared" si="20"/>
        <v>17322.298161186285</v>
      </c>
      <c r="L380" s="6">
        <f t="shared" si="20"/>
        <v>18035.13618391617</v>
      </c>
    </row>
    <row r="381" spans="2:12" ht="18">
      <c r="B381" s="3" t="s">
        <v>41</v>
      </c>
      <c r="C381" s="7" t="s">
        <v>182</v>
      </c>
      <c r="D381" s="7"/>
      <c r="E381" s="6"/>
      <c r="F381" s="6"/>
      <c r="G381" s="6"/>
      <c r="H381" s="6"/>
      <c r="I381" s="6"/>
      <c r="J381" s="6"/>
      <c r="K381" s="6"/>
      <c r="L381" s="6"/>
    </row>
    <row r="382" spans="2:12" ht="18">
      <c r="B382" s="3" t="s">
        <v>183</v>
      </c>
      <c r="C382" s="7" t="s">
        <v>160</v>
      </c>
      <c r="D382" s="25">
        <f>D380*67.46/100</f>
        <v>7304.595470423253</v>
      </c>
      <c r="E382" s="6">
        <f>E380*67.46/100</f>
        <v>8261.288134766208</v>
      </c>
      <c r="F382" s="6">
        <f aca="true" t="shared" si="21" ref="F382:L382">F380*67.46/100</f>
        <v>9223.770524439442</v>
      </c>
      <c r="G382" s="6">
        <f t="shared" si="21"/>
        <v>10089.523363462435</v>
      </c>
      <c r="H382" s="6">
        <f t="shared" si="21"/>
        <v>10177.891188306192</v>
      </c>
      <c r="I382" s="6">
        <f t="shared" si="21"/>
        <v>10860.021268283714</v>
      </c>
      <c r="J382" s="6">
        <f t="shared" si="21"/>
        <v>11133.08049698825</v>
      </c>
      <c r="K382" s="6">
        <f t="shared" si="21"/>
        <v>11685.622339536267</v>
      </c>
      <c r="L382" s="6">
        <f t="shared" si="21"/>
        <v>12166.502869669846</v>
      </c>
    </row>
    <row r="383" spans="2:12" ht="18">
      <c r="B383" s="3" t="s">
        <v>184</v>
      </c>
      <c r="C383" s="7" t="s">
        <v>160</v>
      </c>
      <c r="D383" s="25">
        <f>D382*73/100</f>
        <v>5332.354693408974</v>
      </c>
      <c r="E383" s="6">
        <f>E382*73/100</f>
        <v>6030.740338379332</v>
      </c>
      <c r="F383" s="6">
        <f aca="true" t="shared" si="22" ref="F383:L383">F382*73/100</f>
        <v>6733.352482840793</v>
      </c>
      <c r="G383" s="6">
        <f t="shared" si="22"/>
        <v>7365.352055327577</v>
      </c>
      <c r="H383" s="6">
        <f t="shared" si="22"/>
        <v>7429.86056746352</v>
      </c>
      <c r="I383" s="6">
        <f t="shared" si="22"/>
        <v>7927.8155258471115</v>
      </c>
      <c r="J383" s="6">
        <f t="shared" si="22"/>
        <v>8127.148762801422</v>
      </c>
      <c r="K383" s="6">
        <f t="shared" si="22"/>
        <v>8530.504307861474</v>
      </c>
      <c r="L383" s="6">
        <f t="shared" si="22"/>
        <v>8881.547094858988</v>
      </c>
    </row>
    <row r="384" spans="2:12" ht="18">
      <c r="B384" s="3" t="s">
        <v>185</v>
      </c>
      <c r="C384" s="23" t="s">
        <v>22</v>
      </c>
      <c r="D384" s="52">
        <f>D380*19.6/100</f>
        <v>2122.2957488926145</v>
      </c>
      <c r="E384" s="6">
        <f>E380*19.6/100</f>
        <v>2400.255669158282</v>
      </c>
      <c r="F384" s="6">
        <f aca="true" t="shared" si="23" ref="F384:L384">F380*19.6/100</f>
        <v>2679.8977509489046</v>
      </c>
      <c r="G384" s="6">
        <f t="shared" si="23"/>
        <v>2931.4357830397826</v>
      </c>
      <c r="H384" s="6">
        <f t="shared" si="23"/>
        <v>2957.1103956537413</v>
      </c>
      <c r="I384" s="6">
        <f t="shared" si="23"/>
        <v>3155.298204244898</v>
      </c>
      <c r="J384" s="6">
        <f t="shared" si="23"/>
        <v>3234.633527141561</v>
      </c>
      <c r="K384" s="6">
        <f t="shared" si="23"/>
        <v>3395.170439592512</v>
      </c>
      <c r="L384" s="6">
        <f t="shared" si="23"/>
        <v>3534.88669204757</v>
      </c>
    </row>
    <row r="385" spans="2:12" ht="18">
      <c r="B385" s="3" t="s">
        <v>186</v>
      </c>
      <c r="C385" s="7" t="s">
        <v>160</v>
      </c>
      <c r="D385" s="25">
        <f>D380-D382-D384</f>
        <v>1401.148315850532</v>
      </c>
      <c r="E385" s="6">
        <f>E380-E382-E384</f>
        <v>1584.6585897402138</v>
      </c>
      <c r="F385" s="6">
        <f aca="true" t="shared" si="24" ref="F385:L385">F380-F382-F384</f>
        <v>1769.2794335346339</v>
      </c>
      <c r="G385" s="6">
        <f t="shared" si="24"/>
        <v>1935.345869006876</v>
      </c>
      <c r="H385" s="6">
        <f t="shared" si="24"/>
        <v>1952.29635304895</v>
      </c>
      <c r="I385" s="6">
        <f t="shared" si="24"/>
        <v>2083.1407532106628</v>
      </c>
      <c r="J385" s="6">
        <f t="shared" si="24"/>
        <v>2135.5182572046833</v>
      </c>
      <c r="K385" s="6">
        <f t="shared" si="24"/>
        <v>2241.5053820575063</v>
      </c>
      <c r="L385" s="6">
        <f t="shared" si="24"/>
        <v>2333.746622198753</v>
      </c>
    </row>
    <row r="386" spans="2:12" ht="36">
      <c r="B386" s="4" t="s">
        <v>187</v>
      </c>
      <c r="C386" s="7" t="s">
        <v>160</v>
      </c>
      <c r="D386" s="25">
        <f>D363-D380</f>
        <v>2913.1273876336</v>
      </c>
      <c r="E386" s="6">
        <f>E363-E380</f>
        <v>3294.663588143296</v>
      </c>
      <c r="F386" s="6">
        <f aca="true" t="shared" si="25" ref="F386:L386">F363-F380</f>
        <v>3678.5087744818193</v>
      </c>
      <c r="G386" s="6">
        <f t="shared" si="25"/>
        <v>4023.777491482142</v>
      </c>
      <c r="H386" s="6">
        <f t="shared" si="25"/>
        <v>4059.0192419363993</v>
      </c>
      <c r="I386" s="6">
        <f t="shared" si="25"/>
        <v>4331.057827229348</v>
      </c>
      <c r="J386" s="6">
        <f t="shared" si="25"/>
        <v>4439.955892947863</v>
      </c>
      <c r="K386" s="6">
        <f t="shared" si="25"/>
        <v>4660.313718491743</v>
      </c>
      <c r="L386" s="6">
        <f t="shared" si="25"/>
        <v>4852.092475875925</v>
      </c>
    </row>
    <row r="387" spans="2:12" ht="15">
      <c r="B387" s="86" t="s">
        <v>370</v>
      </c>
      <c r="C387" s="87"/>
      <c r="D387" s="87"/>
      <c r="E387" s="87"/>
      <c r="F387" s="87"/>
      <c r="G387" s="87"/>
      <c r="H387" s="87"/>
      <c r="I387" s="87"/>
      <c r="J387" s="87"/>
      <c r="K387" s="87"/>
      <c r="L387" s="88"/>
    </row>
    <row r="388" spans="2:12" ht="18">
      <c r="B388" s="4" t="s">
        <v>267</v>
      </c>
      <c r="C388" s="7" t="s">
        <v>101</v>
      </c>
      <c r="D388" s="7">
        <v>19.923</v>
      </c>
      <c r="E388" s="24">
        <v>19.66</v>
      </c>
      <c r="F388" s="24">
        <f>F13*0.66</f>
        <v>19.60926</v>
      </c>
      <c r="G388" s="24">
        <f>G13*0.661</f>
        <v>19.675987</v>
      </c>
      <c r="H388" s="24">
        <f>H13*0.661</f>
        <v>19.675987</v>
      </c>
      <c r="I388" s="24">
        <f>I13*0.662</f>
        <v>19.742826</v>
      </c>
      <c r="J388" s="24">
        <f>J13*0.662</f>
        <v>19.742826</v>
      </c>
      <c r="K388" s="24">
        <f>K13*0.663</f>
        <v>19.812429</v>
      </c>
      <c r="L388" s="24">
        <f>L13*0.663</f>
        <v>19.812429</v>
      </c>
    </row>
    <row r="389" spans="2:12" ht="18">
      <c r="B389" s="4" t="s">
        <v>188</v>
      </c>
      <c r="C389" s="7" t="s">
        <v>101</v>
      </c>
      <c r="D389" s="11">
        <v>19.1</v>
      </c>
      <c r="E389" s="24">
        <v>17.527</v>
      </c>
      <c r="F389" s="24">
        <v>17.9</v>
      </c>
      <c r="G389" s="24">
        <f aca="true" t="shared" si="26" ref="G389:L389">G388*0.912</f>
        <v>17.944500144</v>
      </c>
      <c r="H389" s="24">
        <f t="shared" si="26"/>
        <v>17.944500144</v>
      </c>
      <c r="I389" s="24">
        <f t="shared" si="26"/>
        <v>18.005457312</v>
      </c>
      <c r="J389" s="24">
        <f t="shared" si="26"/>
        <v>18.005457312</v>
      </c>
      <c r="K389" s="24">
        <f t="shared" si="26"/>
        <v>18.068935248000003</v>
      </c>
      <c r="L389" s="24">
        <f t="shared" si="26"/>
        <v>18.068935248000003</v>
      </c>
    </row>
    <row r="390" spans="2:12" ht="36">
      <c r="B390" s="4" t="s">
        <v>323</v>
      </c>
      <c r="C390" s="7" t="s">
        <v>68</v>
      </c>
      <c r="D390" s="51">
        <v>61664</v>
      </c>
      <c r="E390" s="51">
        <v>67870.9</v>
      </c>
      <c r="F390" s="51">
        <v>74833.2</v>
      </c>
      <c r="G390" s="51">
        <v>81825.45780509668</v>
      </c>
      <c r="H390" s="51">
        <v>82576.1301062876</v>
      </c>
      <c r="I390" s="51">
        <v>87486.05246321177</v>
      </c>
      <c r="J390" s="51">
        <v>89938.89955214331</v>
      </c>
      <c r="K390" s="51">
        <v>93387.7782883987</v>
      </c>
      <c r="L390" s="51">
        <v>97800.6280637255</v>
      </c>
    </row>
    <row r="391" spans="2:12" ht="36">
      <c r="B391" s="4" t="s">
        <v>323</v>
      </c>
      <c r="C391" s="23" t="s">
        <v>279</v>
      </c>
      <c r="D391" s="51"/>
      <c r="E391" s="51">
        <v>110.1</v>
      </c>
      <c r="F391" s="51">
        <v>110.3</v>
      </c>
      <c r="G391" s="51">
        <v>109.34</v>
      </c>
      <c r="H391" s="51">
        <v>110.3</v>
      </c>
      <c r="I391" s="51">
        <v>106.91788938303075</v>
      </c>
      <c r="J391" s="51">
        <v>108.91634112228164</v>
      </c>
      <c r="K391" s="51">
        <v>106.745904814563</v>
      </c>
      <c r="L391" s="51">
        <v>108.74118824082815</v>
      </c>
    </row>
    <row r="392" spans="2:12" ht="34.5">
      <c r="B392" s="1" t="s">
        <v>189</v>
      </c>
      <c r="C392" s="7" t="s">
        <v>182</v>
      </c>
      <c r="D392" s="7"/>
      <c r="E392" s="6"/>
      <c r="F392" s="6"/>
      <c r="G392" s="6"/>
      <c r="H392" s="6"/>
      <c r="I392" s="6"/>
      <c r="J392" s="6"/>
      <c r="K392" s="6"/>
      <c r="L392" s="6"/>
    </row>
    <row r="393" spans="2:12" ht="36">
      <c r="B393" s="3" t="s">
        <v>190</v>
      </c>
      <c r="C393" s="7" t="s">
        <v>101</v>
      </c>
      <c r="D393" s="7">
        <v>3.09</v>
      </c>
      <c r="E393" s="6">
        <v>3.042</v>
      </c>
      <c r="F393" s="6">
        <v>3.054</v>
      </c>
      <c r="G393" s="6">
        <v>3.063</v>
      </c>
      <c r="H393" s="6">
        <v>3.063</v>
      </c>
      <c r="I393" s="6">
        <v>3.065</v>
      </c>
      <c r="J393" s="6">
        <v>3.065</v>
      </c>
      <c r="K393" s="6">
        <v>3.078</v>
      </c>
      <c r="L393" s="6">
        <v>3.078</v>
      </c>
    </row>
    <row r="394" spans="2:12" ht="36">
      <c r="B394" s="4" t="s">
        <v>191</v>
      </c>
      <c r="C394" s="23" t="s">
        <v>101</v>
      </c>
      <c r="D394" s="23">
        <v>0.03</v>
      </c>
      <c r="E394" s="6">
        <v>0.03</v>
      </c>
      <c r="F394" s="6">
        <v>0.03</v>
      </c>
      <c r="G394" s="6">
        <v>0.03</v>
      </c>
      <c r="H394" s="6">
        <v>0.03</v>
      </c>
      <c r="I394" s="6">
        <v>0.03</v>
      </c>
      <c r="J394" s="6">
        <v>0.03</v>
      </c>
      <c r="K394" s="6">
        <v>0.03</v>
      </c>
      <c r="L394" s="6">
        <v>0.03</v>
      </c>
    </row>
    <row r="395" spans="2:12" ht="18">
      <c r="B395" s="4" t="s">
        <v>192</v>
      </c>
      <c r="C395" s="23" t="s">
        <v>101</v>
      </c>
      <c r="D395" s="23">
        <v>11.95</v>
      </c>
      <c r="E395" s="6">
        <v>11.811</v>
      </c>
      <c r="F395" s="6">
        <v>11.814</v>
      </c>
      <c r="G395" s="6">
        <v>11.837</v>
      </c>
      <c r="H395" s="6">
        <v>11.837</v>
      </c>
      <c r="I395" s="6">
        <v>11.844</v>
      </c>
      <c r="J395" s="6">
        <v>11.844</v>
      </c>
      <c r="K395" s="6">
        <v>11.872</v>
      </c>
      <c r="L395" s="6">
        <v>11.872</v>
      </c>
    </row>
    <row r="396" spans="2:12" ht="18">
      <c r="B396" s="4" t="s">
        <v>193</v>
      </c>
      <c r="C396" s="23" t="s">
        <v>101</v>
      </c>
      <c r="D396" s="23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</row>
    <row r="397" spans="2:12" ht="18">
      <c r="B397" s="4" t="s">
        <v>194</v>
      </c>
      <c r="C397" s="23" t="s">
        <v>101</v>
      </c>
      <c r="D397" s="23">
        <v>4.12</v>
      </c>
      <c r="E397" s="6">
        <v>4.23</v>
      </c>
      <c r="F397" s="6">
        <v>4.26</v>
      </c>
      <c r="G397" s="6">
        <v>4.27</v>
      </c>
      <c r="H397" s="6">
        <v>4.28</v>
      </c>
      <c r="I397" s="6">
        <v>4.3</v>
      </c>
      <c r="J397" s="6">
        <v>4.31</v>
      </c>
      <c r="K397" s="6">
        <v>4.34</v>
      </c>
      <c r="L397" s="6">
        <v>4.35</v>
      </c>
    </row>
    <row r="398" spans="2:12" ht="18">
      <c r="B398" s="3" t="s">
        <v>195</v>
      </c>
      <c r="C398" s="23" t="s">
        <v>82</v>
      </c>
      <c r="D398" s="52">
        <f>D399</f>
        <v>0.9536716357978217</v>
      </c>
      <c r="E398" s="52">
        <f aca="true" t="shared" si="27" ref="E398:L398">E399</f>
        <v>0.8952187182095626</v>
      </c>
      <c r="F398" s="52">
        <f t="shared" si="27"/>
        <v>0.8924355126098589</v>
      </c>
      <c r="G398" s="52">
        <f t="shared" si="27"/>
        <v>0.8639973181523245</v>
      </c>
      <c r="H398" s="52">
        <f t="shared" si="27"/>
        <v>0.8639973181523245</v>
      </c>
      <c r="I398" s="52">
        <f t="shared" si="27"/>
        <v>0.8610722699982263</v>
      </c>
      <c r="J398" s="52">
        <f t="shared" si="27"/>
        <v>0.8610722699982263</v>
      </c>
      <c r="K398" s="52">
        <f t="shared" si="27"/>
        <v>0.8580472389326922</v>
      </c>
      <c r="L398" s="52">
        <f t="shared" si="27"/>
        <v>0.8580472389326922</v>
      </c>
    </row>
    <row r="399" spans="2:12" ht="18">
      <c r="B399" s="3" t="s">
        <v>196</v>
      </c>
      <c r="C399" s="23" t="s">
        <v>82</v>
      </c>
      <c r="D399" s="52">
        <f>D401/D388*100</f>
        <v>0.9536716357978217</v>
      </c>
      <c r="E399" s="52">
        <f>E401/E388*100</f>
        <v>0.8952187182095626</v>
      </c>
      <c r="F399" s="52">
        <f aca="true" t="shared" si="28" ref="F399:K399">F401/F388*100</f>
        <v>0.8924355126098589</v>
      </c>
      <c r="G399" s="52">
        <f t="shared" si="28"/>
        <v>0.8639973181523245</v>
      </c>
      <c r="H399" s="52">
        <f t="shared" si="28"/>
        <v>0.8639973181523245</v>
      </c>
      <c r="I399" s="52">
        <f t="shared" si="28"/>
        <v>0.8610722699982263</v>
      </c>
      <c r="J399" s="52">
        <f t="shared" si="28"/>
        <v>0.8610722699982263</v>
      </c>
      <c r="K399" s="52">
        <f t="shared" si="28"/>
        <v>0.8580472389326922</v>
      </c>
      <c r="L399" s="52">
        <f>L401/L388*100</f>
        <v>0.8580472389326922</v>
      </c>
    </row>
    <row r="400" spans="2:12" ht="18">
      <c r="B400" s="3" t="s">
        <v>197</v>
      </c>
      <c r="C400" s="7" t="s">
        <v>101</v>
      </c>
      <c r="D400" s="7" t="s">
        <v>335</v>
      </c>
      <c r="E400" s="7" t="s">
        <v>335</v>
      </c>
      <c r="F400" s="7" t="s">
        <v>335</v>
      </c>
      <c r="G400" s="7" t="s">
        <v>335</v>
      </c>
      <c r="H400" s="7" t="s">
        <v>335</v>
      </c>
      <c r="I400" s="7" t="s">
        <v>335</v>
      </c>
      <c r="J400" s="7" t="s">
        <v>335</v>
      </c>
      <c r="K400" s="7" t="s">
        <v>335</v>
      </c>
      <c r="L400" s="7" t="s">
        <v>335</v>
      </c>
    </row>
    <row r="401" spans="2:12" ht="36">
      <c r="B401" s="3" t="s">
        <v>198</v>
      </c>
      <c r="C401" s="7" t="s">
        <v>101</v>
      </c>
      <c r="D401" s="7">
        <v>0.19</v>
      </c>
      <c r="E401" s="24">
        <v>0.176</v>
      </c>
      <c r="F401" s="24">
        <v>0.175</v>
      </c>
      <c r="G401" s="24">
        <v>0.17</v>
      </c>
      <c r="H401" s="24">
        <v>0.17</v>
      </c>
      <c r="I401" s="24">
        <v>0.17</v>
      </c>
      <c r="J401" s="24">
        <v>0.17</v>
      </c>
      <c r="K401" s="24">
        <v>0.17</v>
      </c>
      <c r="L401" s="24">
        <v>0.17</v>
      </c>
    </row>
    <row r="402" spans="2:12" ht="54">
      <c r="B402" s="4" t="s">
        <v>199</v>
      </c>
      <c r="C402" s="23" t="s">
        <v>200</v>
      </c>
      <c r="D402" s="23">
        <v>0.78</v>
      </c>
      <c r="E402" s="6">
        <v>0.74</v>
      </c>
      <c r="F402" s="6">
        <v>1</v>
      </c>
      <c r="G402" s="6">
        <v>1</v>
      </c>
      <c r="H402" s="6">
        <v>1</v>
      </c>
      <c r="I402" s="6">
        <v>1</v>
      </c>
      <c r="J402" s="6">
        <v>1</v>
      </c>
      <c r="K402" s="6">
        <v>1</v>
      </c>
      <c r="L402" s="6">
        <v>1</v>
      </c>
    </row>
    <row r="403" spans="2:12" ht="36">
      <c r="B403" s="4" t="s">
        <v>253</v>
      </c>
      <c r="C403" s="22" t="s">
        <v>101</v>
      </c>
      <c r="D403" s="22">
        <v>12.596</v>
      </c>
      <c r="E403" s="24">
        <v>12.853</v>
      </c>
      <c r="F403" s="24">
        <v>13.145</v>
      </c>
      <c r="G403" s="24">
        <f aca="true" t="shared" si="29" ref="G403:L403">G389*0.73</f>
        <v>13.09948510512</v>
      </c>
      <c r="H403" s="24">
        <f t="shared" si="29"/>
        <v>13.09948510512</v>
      </c>
      <c r="I403" s="24">
        <f t="shared" si="29"/>
        <v>13.14398383776</v>
      </c>
      <c r="J403" s="24">
        <f t="shared" si="29"/>
        <v>13.14398383776</v>
      </c>
      <c r="K403" s="24">
        <f t="shared" si="29"/>
        <v>13.190322731040002</v>
      </c>
      <c r="L403" s="24">
        <f t="shared" si="29"/>
        <v>13.190322731040002</v>
      </c>
    </row>
    <row r="404" spans="2:12" ht="18">
      <c r="B404" s="3" t="s">
        <v>201</v>
      </c>
      <c r="C404" s="7" t="s">
        <v>27</v>
      </c>
      <c r="D404" s="51">
        <v>9301.571</v>
      </c>
      <c r="E404" s="6">
        <v>10468.136</v>
      </c>
      <c r="F404" s="6">
        <f>E404*1.12</f>
        <v>11724.31232</v>
      </c>
      <c r="G404" s="6">
        <f>F404*1.09</f>
        <v>12779.500428800002</v>
      </c>
      <c r="H404" s="6">
        <f>F404*1.1</f>
        <v>12896.743552000002</v>
      </c>
      <c r="I404" s="6">
        <f>G404*1.07</f>
        <v>13674.065458816003</v>
      </c>
      <c r="J404" s="6">
        <f>H404*1.09</f>
        <v>14057.450471680002</v>
      </c>
      <c r="K404" s="6">
        <f>I404*1.07</f>
        <v>14631.250040933124</v>
      </c>
      <c r="L404" s="6">
        <f>J404*1.09</f>
        <v>15322.621014131204</v>
      </c>
    </row>
    <row r="405" spans="2:12" ht="18">
      <c r="B405" s="3" t="s">
        <v>202</v>
      </c>
      <c r="C405" s="7" t="s">
        <v>27</v>
      </c>
      <c r="D405" s="42">
        <v>1550.8</v>
      </c>
      <c r="E405" s="42">
        <v>1849.7</v>
      </c>
      <c r="F405" s="57">
        <v>2134.59</v>
      </c>
      <c r="G405" s="42">
        <v>2457.59</v>
      </c>
      <c r="H405" s="42">
        <v>2472.25</v>
      </c>
      <c r="I405" s="42">
        <v>2750.46</v>
      </c>
      <c r="J405" s="42">
        <v>2768.45</v>
      </c>
      <c r="K405" s="42">
        <v>3066.02</v>
      </c>
      <c r="L405" s="42">
        <v>3076.77</v>
      </c>
    </row>
    <row r="406" spans="2:12" ht="72">
      <c r="B406" s="4" t="s">
        <v>203</v>
      </c>
      <c r="C406" s="7" t="s">
        <v>204</v>
      </c>
      <c r="D406" s="7" t="s">
        <v>335</v>
      </c>
      <c r="E406" s="7" t="s">
        <v>335</v>
      </c>
      <c r="F406" s="7" t="s">
        <v>335</v>
      </c>
      <c r="G406" s="7" t="s">
        <v>335</v>
      </c>
      <c r="H406" s="7" t="s">
        <v>335</v>
      </c>
      <c r="I406" s="7" t="s">
        <v>335</v>
      </c>
      <c r="J406" s="7" t="s">
        <v>335</v>
      </c>
      <c r="K406" s="7" t="s">
        <v>335</v>
      </c>
      <c r="L406" s="7" t="s">
        <v>335</v>
      </c>
    </row>
    <row r="407" spans="2:12" ht="36">
      <c r="B407" s="4" t="s">
        <v>205</v>
      </c>
      <c r="C407" s="23" t="s">
        <v>82</v>
      </c>
      <c r="D407" s="23" t="s">
        <v>335</v>
      </c>
      <c r="E407" s="23" t="s">
        <v>335</v>
      </c>
      <c r="F407" s="23" t="s">
        <v>335</v>
      </c>
      <c r="G407" s="23" t="s">
        <v>335</v>
      </c>
      <c r="H407" s="23" t="s">
        <v>335</v>
      </c>
      <c r="I407" s="23" t="s">
        <v>335</v>
      </c>
      <c r="J407" s="23" t="s">
        <v>335</v>
      </c>
      <c r="K407" s="23" t="s">
        <v>335</v>
      </c>
      <c r="L407" s="23" t="s">
        <v>335</v>
      </c>
    </row>
    <row r="408" spans="2:12" ht="15">
      <c r="B408" s="95" t="s">
        <v>371</v>
      </c>
      <c r="C408" s="96"/>
      <c r="D408" s="96"/>
      <c r="E408" s="96"/>
      <c r="F408" s="96"/>
      <c r="G408" s="96"/>
      <c r="H408" s="96"/>
      <c r="I408" s="96"/>
      <c r="J408" s="96"/>
      <c r="K408" s="96"/>
      <c r="L408" s="97"/>
    </row>
    <row r="409" spans="2:12" ht="18">
      <c r="B409" s="4" t="s">
        <v>206</v>
      </c>
      <c r="C409" s="7" t="s">
        <v>200</v>
      </c>
      <c r="D409" s="7">
        <v>1929</v>
      </c>
      <c r="E409" s="27">
        <v>2035</v>
      </c>
      <c r="F409" s="27">
        <v>1936</v>
      </c>
      <c r="G409" s="49">
        <v>2030</v>
      </c>
      <c r="H409" s="49">
        <v>2030</v>
      </c>
      <c r="I409" s="49">
        <v>2090</v>
      </c>
      <c r="J409" s="49">
        <v>2090</v>
      </c>
      <c r="K409" s="49">
        <v>2130</v>
      </c>
      <c r="L409" s="49">
        <v>2130</v>
      </c>
    </row>
    <row r="410" spans="2:12" ht="54">
      <c r="B410" s="4" t="s">
        <v>207</v>
      </c>
      <c r="C410" s="22" t="s">
        <v>101</v>
      </c>
      <c r="D410" s="22">
        <v>3.508</v>
      </c>
      <c r="E410" s="24">
        <v>3.6</v>
      </c>
      <c r="F410" s="24">
        <v>3.672</v>
      </c>
      <c r="G410" s="24">
        <v>3.745</v>
      </c>
      <c r="H410" s="24">
        <v>3.745</v>
      </c>
      <c r="I410" s="24">
        <v>3.82</v>
      </c>
      <c r="J410" s="24">
        <v>3.82</v>
      </c>
      <c r="K410" s="24">
        <v>3.89</v>
      </c>
      <c r="L410" s="24">
        <v>3.98</v>
      </c>
    </row>
    <row r="411" spans="2:12" ht="18">
      <c r="B411" s="4" t="s">
        <v>208</v>
      </c>
      <c r="C411" s="7" t="s">
        <v>101</v>
      </c>
      <c r="D411" s="11">
        <v>3.508</v>
      </c>
      <c r="E411" s="12">
        <v>3.6</v>
      </c>
      <c r="F411" s="12">
        <v>3.672</v>
      </c>
      <c r="G411" s="24">
        <v>3.745</v>
      </c>
      <c r="H411" s="24">
        <v>3.745</v>
      </c>
      <c r="I411" s="24">
        <v>3.82</v>
      </c>
      <c r="J411" s="24">
        <v>3.82</v>
      </c>
      <c r="K411" s="24">
        <v>3.89</v>
      </c>
      <c r="L411" s="24">
        <v>3.98</v>
      </c>
    </row>
    <row r="412" spans="2:12" ht="18">
      <c r="B412" s="3" t="s">
        <v>209</v>
      </c>
      <c r="C412" s="22" t="s">
        <v>101</v>
      </c>
      <c r="D412" s="22" t="s">
        <v>335</v>
      </c>
      <c r="E412" s="22" t="s">
        <v>335</v>
      </c>
      <c r="F412" s="22" t="s">
        <v>335</v>
      </c>
      <c r="G412" s="22" t="s">
        <v>335</v>
      </c>
      <c r="H412" s="22" t="s">
        <v>335</v>
      </c>
      <c r="I412" s="22" t="s">
        <v>335</v>
      </c>
      <c r="J412" s="22" t="s">
        <v>335</v>
      </c>
      <c r="K412" s="22" t="s">
        <v>335</v>
      </c>
      <c r="L412" s="22" t="s">
        <v>335</v>
      </c>
    </row>
    <row r="413" spans="2:12" ht="44.25" customHeight="1">
      <c r="B413" s="4" t="s">
        <v>210</v>
      </c>
      <c r="C413" s="22" t="s">
        <v>101</v>
      </c>
      <c r="D413" s="22">
        <v>0.191</v>
      </c>
      <c r="E413" s="22" t="s">
        <v>335</v>
      </c>
      <c r="F413" s="22" t="s">
        <v>335</v>
      </c>
      <c r="G413" s="22" t="s">
        <v>335</v>
      </c>
      <c r="H413" s="22" t="s">
        <v>335</v>
      </c>
      <c r="I413" s="22" t="s">
        <v>335</v>
      </c>
      <c r="J413" s="22" t="s">
        <v>335</v>
      </c>
      <c r="K413" s="22" t="s">
        <v>335</v>
      </c>
      <c r="L413" s="22" t="s">
        <v>335</v>
      </c>
    </row>
    <row r="414" spans="2:12" ht="44.25" customHeight="1">
      <c r="B414" s="4" t="s">
        <v>211</v>
      </c>
      <c r="C414" s="22" t="s">
        <v>101</v>
      </c>
      <c r="D414" s="22">
        <v>0.201</v>
      </c>
      <c r="E414" s="22" t="s">
        <v>335</v>
      </c>
      <c r="F414" s="22" t="s">
        <v>335</v>
      </c>
      <c r="G414" s="22" t="s">
        <v>335</v>
      </c>
      <c r="H414" s="22" t="s">
        <v>335</v>
      </c>
      <c r="I414" s="22" t="s">
        <v>335</v>
      </c>
      <c r="J414" s="22" t="s">
        <v>335</v>
      </c>
      <c r="K414" s="22" t="s">
        <v>335</v>
      </c>
      <c r="L414" s="22" t="s">
        <v>335</v>
      </c>
    </row>
    <row r="415" spans="2:12" ht="36">
      <c r="B415" s="4" t="s">
        <v>212</v>
      </c>
      <c r="C415" s="22" t="s">
        <v>101</v>
      </c>
      <c r="D415" s="22" t="s">
        <v>335</v>
      </c>
      <c r="E415" s="22" t="s">
        <v>335</v>
      </c>
      <c r="F415" s="22" t="s">
        <v>335</v>
      </c>
      <c r="G415" s="22" t="s">
        <v>335</v>
      </c>
      <c r="H415" s="22" t="s">
        <v>335</v>
      </c>
      <c r="I415" s="22" t="s">
        <v>335</v>
      </c>
      <c r="J415" s="22" t="s">
        <v>335</v>
      </c>
      <c r="K415" s="22" t="s">
        <v>335</v>
      </c>
      <c r="L415" s="22" t="s">
        <v>335</v>
      </c>
    </row>
    <row r="416" spans="2:12" ht="36">
      <c r="B416" s="4" t="s">
        <v>213</v>
      </c>
      <c r="C416" s="22" t="s">
        <v>101</v>
      </c>
      <c r="D416" s="22" t="s">
        <v>335</v>
      </c>
      <c r="E416" s="22" t="s">
        <v>335</v>
      </c>
      <c r="F416" s="22" t="s">
        <v>335</v>
      </c>
      <c r="G416" s="22" t="s">
        <v>335</v>
      </c>
      <c r="H416" s="22" t="s">
        <v>335</v>
      </c>
      <c r="I416" s="22" t="s">
        <v>335</v>
      </c>
      <c r="J416" s="22" t="s">
        <v>335</v>
      </c>
      <c r="K416" s="22" t="s">
        <v>335</v>
      </c>
      <c r="L416" s="22" t="s">
        <v>335</v>
      </c>
    </row>
    <row r="417" spans="2:12" ht="36">
      <c r="B417" s="4" t="s">
        <v>212</v>
      </c>
      <c r="C417" s="22" t="s">
        <v>101</v>
      </c>
      <c r="D417" s="22" t="s">
        <v>335</v>
      </c>
      <c r="E417" s="22" t="s">
        <v>335</v>
      </c>
      <c r="F417" s="22" t="s">
        <v>335</v>
      </c>
      <c r="G417" s="22" t="s">
        <v>335</v>
      </c>
      <c r="H417" s="22" t="s">
        <v>335</v>
      </c>
      <c r="I417" s="22" t="s">
        <v>335</v>
      </c>
      <c r="J417" s="22" t="s">
        <v>335</v>
      </c>
      <c r="K417" s="22" t="s">
        <v>335</v>
      </c>
      <c r="L417" s="22" t="s">
        <v>335</v>
      </c>
    </row>
    <row r="418" spans="2:12" ht="63" customHeight="1">
      <c r="B418" s="5" t="s">
        <v>340</v>
      </c>
      <c r="C418" s="22" t="s">
        <v>101</v>
      </c>
      <c r="D418" s="22" t="s">
        <v>335</v>
      </c>
      <c r="E418" s="13">
        <v>0.354</v>
      </c>
      <c r="F418" s="13">
        <v>0.414</v>
      </c>
      <c r="G418" s="13">
        <v>0.373</v>
      </c>
      <c r="H418" s="13" t="s">
        <v>339</v>
      </c>
      <c r="I418" s="13">
        <v>0.43</v>
      </c>
      <c r="J418" s="13">
        <v>0.395</v>
      </c>
      <c r="K418" s="13">
        <v>0.474</v>
      </c>
      <c r="L418" s="14">
        <v>0.439</v>
      </c>
    </row>
    <row r="419" spans="2:12" ht="17.25">
      <c r="B419" s="1" t="s">
        <v>214</v>
      </c>
      <c r="C419" s="7" t="s">
        <v>182</v>
      </c>
      <c r="D419" s="7"/>
      <c r="E419" s="6"/>
      <c r="F419" s="6"/>
      <c r="G419" s="6"/>
      <c r="H419" s="6"/>
      <c r="I419" s="6"/>
      <c r="J419" s="6"/>
      <c r="K419" s="6"/>
      <c r="L419" s="6"/>
    </row>
    <row r="420" spans="2:12" ht="36">
      <c r="B420" s="4" t="s">
        <v>215</v>
      </c>
      <c r="C420" s="22" t="s">
        <v>101</v>
      </c>
      <c r="D420" s="22" t="s">
        <v>335</v>
      </c>
      <c r="E420" s="22" t="s">
        <v>335</v>
      </c>
      <c r="F420" s="22" t="s">
        <v>335</v>
      </c>
      <c r="G420" s="22" t="s">
        <v>335</v>
      </c>
      <c r="H420" s="22" t="s">
        <v>335</v>
      </c>
      <c r="I420" s="22" t="s">
        <v>335</v>
      </c>
      <c r="J420" s="22" t="s">
        <v>335</v>
      </c>
      <c r="K420" s="22" t="s">
        <v>335</v>
      </c>
      <c r="L420" s="22" t="s">
        <v>335</v>
      </c>
    </row>
    <row r="421" spans="2:12" ht="36">
      <c r="B421" s="4" t="s">
        <v>216</v>
      </c>
      <c r="C421" s="22" t="s">
        <v>101</v>
      </c>
      <c r="D421" s="22" t="s">
        <v>335</v>
      </c>
      <c r="E421" s="22" t="s">
        <v>335</v>
      </c>
      <c r="F421" s="22" t="s">
        <v>335</v>
      </c>
      <c r="G421" s="22" t="s">
        <v>335</v>
      </c>
      <c r="H421" s="22" t="s">
        <v>335</v>
      </c>
      <c r="I421" s="22" t="s">
        <v>335</v>
      </c>
      <c r="J421" s="22" t="s">
        <v>335</v>
      </c>
      <c r="K421" s="22" t="s">
        <v>335</v>
      </c>
      <c r="L421" s="22" t="s">
        <v>335</v>
      </c>
    </row>
    <row r="422" spans="2:12" ht="17.25">
      <c r="B422" s="1" t="s">
        <v>217</v>
      </c>
      <c r="C422" s="7"/>
      <c r="D422" s="7"/>
      <c r="E422" s="6"/>
      <c r="F422" s="6"/>
      <c r="G422" s="6"/>
      <c r="H422" s="6"/>
      <c r="I422" s="6"/>
      <c r="J422" s="6"/>
      <c r="K422" s="6"/>
      <c r="L422" s="6"/>
    </row>
    <row r="423" spans="2:12" ht="18">
      <c r="B423" s="3" t="s">
        <v>218</v>
      </c>
      <c r="C423" s="30"/>
      <c r="D423" s="30"/>
      <c r="E423" s="6"/>
      <c r="F423" s="6"/>
      <c r="G423" s="6"/>
      <c r="H423" s="6"/>
      <c r="I423" s="6"/>
      <c r="J423" s="6"/>
      <c r="K423" s="6"/>
      <c r="L423" s="6"/>
    </row>
    <row r="424" spans="2:12" ht="18">
      <c r="B424" s="3" t="s">
        <v>219</v>
      </c>
      <c r="C424" s="7" t="s">
        <v>220</v>
      </c>
      <c r="D424" s="26">
        <f>230/D13*10</f>
        <v>76.92822262358686</v>
      </c>
      <c r="E424" s="26">
        <f>228/E13*10</f>
        <v>76.56145063801208</v>
      </c>
      <c r="F424" s="26">
        <f aca="true" t="shared" si="30" ref="F424:L424">228/F13*10</f>
        <v>76.73925482144661</v>
      </c>
      <c r="G424" s="26">
        <f t="shared" si="30"/>
        <v>76.59488695535325</v>
      </c>
      <c r="H424" s="26">
        <f t="shared" si="30"/>
        <v>76.59488695535325</v>
      </c>
      <c r="I424" s="26">
        <f t="shared" si="30"/>
        <v>76.4510612614425</v>
      </c>
      <c r="J424" s="26">
        <f t="shared" si="30"/>
        <v>76.4510612614425</v>
      </c>
      <c r="K424" s="26">
        <f t="shared" si="30"/>
        <v>76.29756048589499</v>
      </c>
      <c r="L424" s="26">
        <f t="shared" si="30"/>
        <v>76.29756048589499</v>
      </c>
    </row>
    <row r="425" spans="2:12" ht="18">
      <c r="B425" s="3" t="s">
        <v>221</v>
      </c>
      <c r="C425" s="7" t="s">
        <v>222</v>
      </c>
      <c r="D425" s="25">
        <f>10/D13*100</f>
        <v>33.44705331460298</v>
      </c>
      <c r="E425" s="25">
        <f>10/E13*100</f>
        <v>33.579583613163194</v>
      </c>
      <c r="F425" s="25">
        <f aca="true" t="shared" si="31" ref="F425:L425">10/F13*100</f>
        <v>33.65756790414325</v>
      </c>
      <c r="G425" s="25">
        <f t="shared" si="31"/>
        <v>33.594248664628616</v>
      </c>
      <c r="H425" s="25">
        <f t="shared" si="31"/>
        <v>33.594248664628616</v>
      </c>
      <c r="I425" s="25">
        <f t="shared" si="31"/>
        <v>33.53116721993092</v>
      </c>
      <c r="J425" s="25">
        <f t="shared" si="31"/>
        <v>33.53116721993092</v>
      </c>
      <c r="K425" s="25">
        <f t="shared" si="31"/>
        <v>33.463842318375</v>
      </c>
      <c r="L425" s="25">
        <f t="shared" si="31"/>
        <v>33.463842318375</v>
      </c>
    </row>
    <row r="426" spans="2:12" ht="18">
      <c r="B426" s="3" t="s">
        <v>223</v>
      </c>
      <c r="C426" s="7" t="s">
        <v>222</v>
      </c>
      <c r="D426" s="25">
        <f>18/D13*100</f>
        <v>60.20469596628537</v>
      </c>
      <c r="E426" s="25">
        <f>18/E13*100</f>
        <v>60.443250503693754</v>
      </c>
      <c r="F426" s="25">
        <f>17/F13*100</f>
        <v>57.21786543704353</v>
      </c>
      <c r="G426" s="25">
        <f aca="true" t="shared" si="32" ref="G426:L426">17/G13*100</f>
        <v>57.110222729868646</v>
      </c>
      <c r="H426" s="25">
        <f t="shared" si="32"/>
        <v>57.110222729868646</v>
      </c>
      <c r="I426" s="25">
        <f t="shared" si="32"/>
        <v>57.002984273882575</v>
      </c>
      <c r="J426" s="25">
        <f t="shared" si="32"/>
        <v>57.002984273882575</v>
      </c>
      <c r="K426" s="25">
        <f t="shared" si="32"/>
        <v>56.888531941237495</v>
      </c>
      <c r="L426" s="25">
        <f t="shared" si="32"/>
        <v>56.888531941237495</v>
      </c>
    </row>
    <row r="427" spans="2:12" ht="18">
      <c r="B427" s="3" t="s">
        <v>224</v>
      </c>
      <c r="C427" s="7" t="s">
        <v>268</v>
      </c>
      <c r="D427" s="7">
        <v>657.6</v>
      </c>
      <c r="E427" s="6">
        <v>656</v>
      </c>
      <c r="F427" s="6">
        <v>645.2</v>
      </c>
      <c r="G427" s="6">
        <v>637.7</v>
      </c>
      <c r="H427" s="6">
        <v>637.7</v>
      </c>
      <c r="I427" s="6">
        <v>631.3</v>
      </c>
      <c r="J427" s="6">
        <v>710.4</v>
      </c>
      <c r="K427" s="6">
        <v>702.8</v>
      </c>
      <c r="L427" s="6">
        <v>702.8</v>
      </c>
    </row>
    <row r="428" spans="2:12" ht="36">
      <c r="B428" s="3" t="s">
        <v>225</v>
      </c>
      <c r="C428" s="22" t="s">
        <v>226</v>
      </c>
      <c r="D428" s="34">
        <f>970/D13*10</f>
        <v>324.4364171516489</v>
      </c>
      <c r="E428" s="34">
        <f>970/E13*10</f>
        <v>325.721961047683</v>
      </c>
      <c r="F428" s="34">
        <f aca="true" t="shared" si="33" ref="F428:L428">970/F13*10</f>
        <v>326.4784086701895</v>
      </c>
      <c r="G428" s="34">
        <f t="shared" si="33"/>
        <v>325.8642120468976</v>
      </c>
      <c r="H428" s="34">
        <f t="shared" si="33"/>
        <v>325.8642120468976</v>
      </c>
      <c r="I428" s="34">
        <f t="shared" si="33"/>
        <v>325.25232203332996</v>
      </c>
      <c r="J428" s="34">
        <f t="shared" si="33"/>
        <v>325.25232203332996</v>
      </c>
      <c r="K428" s="34">
        <f t="shared" si="33"/>
        <v>324.59927048823744</v>
      </c>
      <c r="L428" s="34">
        <f t="shared" si="33"/>
        <v>324.59927048823744</v>
      </c>
    </row>
    <row r="429" spans="2:12" ht="18">
      <c r="B429" s="3" t="s">
        <v>227</v>
      </c>
      <c r="C429" s="7"/>
      <c r="D429" s="7"/>
      <c r="E429" s="6"/>
      <c r="F429" s="6"/>
      <c r="G429" s="6"/>
      <c r="H429" s="6"/>
      <c r="I429" s="6"/>
      <c r="J429" s="6"/>
      <c r="K429" s="6"/>
      <c r="L429" s="6"/>
    </row>
    <row r="430" spans="2:12" ht="18">
      <c r="B430" s="3" t="s">
        <v>228</v>
      </c>
      <c r="C430" s="22" t="s">
        <v>229</v>
      </c>
      <c r="D430" s="31">
        <v>0.117</v>
      </c>
      <c r="E430" s="12">
        <v>0.121</v>
      </c>
      <c r="F430" s="12">
        <v>0.121</v>
      </c>
      <c r="G430" s="12">
        <v>0.128</v>
      </c>
      <c r="H430" s="12">
        <v>0.13</v>
      </c>
      <c r="I430" s="12">
        <v>0.132</v>
      </c>
      <c r="J430" s="12">
        <v>0.134</v>
      </c>
      <c r="K430" s="12">
        <v>0.136</v>
      </c>
      <c r="L430" s="12">
        <v>0.136</v>
      </c>
    </row>
    <row r="431" spans="2:12" ht="18">
      <c r="B431" s="3" t="s">
        <v>230</v>
      </c>
      <c r="C431" s="22" t="s">
        <v>229</v>
      </c>
      <c r="D431" s="22">
        <v>0.379</v>
      </c>
      <c r="E431" s="24">
        <v>0.411</v>
      </c>
      <c r="F431" s="24">
        <v>0.41</v>
      </c>
      <c r="G431" s="24">
        <v>0.408</v>
      </c>
      <c r="H431" s="24">
        <v>0.41</v>
      </c>
      <c r="I431" s="24">
        <v>0.41</v>
      </c>
      <c r="J431" s="24">
        <v>0.41</v>
      </c>
      <c r="K431" s="24">
        <v>0.41</v>
      </c>
      <c r="L431" s="24">
        <v>0.41</v>
      </c>
    </row>
    <row r="434" spans="3:8" ht="17.25">
      <c r="C434" s="84"/>
      <c r="D434" s="84"/>
      <c r="E434" s="84"/>
      <c r="F434" s="84"/>
      <c r="G434" s="84"/>
      <c r="H434" s="84"/>
    </row>
    <row r="435" spans="2:12" ht="17.25">
      <c r="B435" s="93" t="s">
        <v>374</v>
      </c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</sheetData>
  <sheetProtection/>
  <mergeCells count="22">
    <mergeCell ref="B11:L11"/>
    <mergeCell ref="B22:L22"/>
    <mergeCell ref="I1:L1"/>
    <mergeCell ref="D9:D10"/>
    <mergeCell ref="B6:L6"/>
    <mergeCell ref="B435:L435"/>
    <mergeCell ref="B387:L387"/>
    <mergeCell ref="B318:L318"/>
    <mergeCell ref="B362:L362"/>
    <mergeCell ref="B232:L232"/>
    <mergeCell ref="B8:B10"/>
    <mergeCell ref="C8:C10"/>
    <mergeCell ref="B408:L408"/>
    <mergeCell ref="B4:L4"/>
    <mergeCell ref="B5:L5"/>
    <mergeCell ref="B156:L156"/>
    <mergeCell ref="B167:L167"/>
    <mergeCell ref="J2:L2"/>
    <mergeCell ref="J3:L3"/>
    <mergeCell ref="C3:F3"/>
    <mergeCell ref="E9:E10"/>
    <mergeCell ref="F9:F10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Меженная Олеся Алексеевна</cp:lastModifiedBy>
  <cp:lastPrinted>2015-10-16T07:53:49Z</cp:lastPrinted>
  <dcterms:created xsi:type="dcterms:W3CDTF">2013-05-25T16:45:04Z</dcterms:created>
  <dcterms:modified xsi:type="dcterms:W3CDTF">2015-11-02T08:25:53Z</dcterms:modified>
  <cp:category/>
  <cp:version/>
  <cp:contentType/>
  <cp:contentStatus/>
</cp:coreProperties>
</file>